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josephineclarys/Desktop/"/>
    </mc:Choice>
  </mc:AlternateContent>
  <xr:revisionPtr revIDLastSave="0" documentId="8_{28018612-CE49-E449-B833-C04AE4E8B88A}" xr6:coauthVersionLast="45" xr6:coauthVersionMax="45" xr10:uidLastSave="{00000000-0000-0000-0000-000000000000}"/>
  <workbookProtection workbookAlgorithmName="SHA-512" workbookHashValue="ZNVTDV70SNCvgVal8vWBy2bTiROhCWWM0O/P7WJ6dPpWvYWh5/r8o4ffvQ8WuPR7T/z/6k345scI1/H4PnToiw==" workbookSaltValue="ey+qOeuzwYGCz8Yyo0Yi2g==" workbookSpinCount="100000" lockStructure="1"/>
  <bookViews>
    <workbookView xWindow="0" yWindow="460" windowWidth="24000" windowHeight="9740" xr2:uid="{00000000-000D-0000-FFFF-FFFF00000000}"/>
  </bookViews>
  <sheets>
    <sheet name="SelectionData" sheetId="2" r:id="rId1"/>
    <sheet name="units" sheetId="5" state="hidden" r:id="rId2"/>
    <sheet name="TechData" sheetId="1" state="hidden" r:id="rId3"/>
    <sheet name="IntermediateCalcul" sheetId="3" state="hidden" r:id="rId4"/>
    <sheet name="CorrectionFactors" sheetId="4" state="hidden" r:id="rId5"/>
  </sheets>
  <definedNames>
    <definedName name="units">units!$A$1:$A$2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I17" i="2"/>
  <c r="J17" i="2"/>
  <c r="K19" i="2"/>
  <c r="H15" i="2"/>
  <c r="I15" i="2"/>
  <c r="J15" i="2"/>
  <c r="K15" i="2"/>
  <c r="G17" i="2"/>
  <c r="G18" i="2"/>
  <c r="G19" i="2"/>
  <c r="I20" i="2"/>
  <c r="G21" i="2"/>
  <c r="G22" i="2"/>
  <c r="G26" i="2"/>
  <c r="G27" i="2"/>
  <c r="G28" i="2"/>
  <c r="G29" i="2"/>
  <c r="G30" i="2"/>
  <c r="G31" i="2"/>
  <c r="G32" i="2"/>
  <c r="J20" i="2" l="1"/>
  <c r="H16" i="2"/>
  <c r="I16" i="2"/>
  <c r="K16" i="2"/>
  <c r="K17" i="2"/>
  <c r="H17" i="2"/>
  <c r="K20" i="2"/>
  <c r="G20" i="2"/>
  <c r="J16" i="2"/>
  <c r="C15" i="2" l="1"/>
  <c r="D15" i="2" l="1"/>
  <c r="E15" i="2"/>
  <c r="F15" i="2"/>
  <c r="B7" i="2" l="1"/>
  <c r="B22" i="2" s="1"/>
  <c r="B21" i="2" l="1"/>
  <c r="D11" i="2"/>
  <c r="E11" i="2"/>
  <c r="F11" i="2"/>
  <c r="C11" i="2"/>
  <c r="B5" i="4" l="1"/>
  <c r="B2" i="4"/>
  <c r="B9" i="3"/>
  <c r="J18" i="2" l="1"/>
  <c r="K18" i="2"/>
  <c r="H18" i="2"/>
  <c r="I18" i="2"/>
  <c r="J22" i="2"/>
  <c r="K22" i="2"/>
  <c r="I21" i="2"/>
  <c r="H22" i="2"/>
  <c r="K21" i="2"/>
  <c r="I22" i="2"/>
  <c r="H21" i="2"/>
  <c r="J21" i="2"/>
  <c r="C13" i="2"/>
  <c r="D13" i="2"/>
  <c r="E13" i="2"/>
  <c r="F13" i="2"/>
  <c r="C14" i="2"/>
  <c r="D14" i="2"/>
  <c r="E14" i="2"/>
  <c r="F14" i="2"/>
  <c r="D17" i="2"/>
  <c r="E17" i="2"/>
  <c r="F17" i="2"/>
  <c r="C17" i="2"/>
  <c r="A23" i="3"/>
  <c r="C19" i="3"/>
  <c r="D19" i="3"/>
  <c r="E19" i="3"/>
  <c r="F19" i="3"/>
  <c r="G19" i="3"/>
  <c r="H19" i="3"/>
  <c r="I19" i="3"/>
  <c r="J19" i="3"/>
  <c r="K19" i="3"/>
  <c r="B19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20" i="3"/>
  <c r="D20" i="3"/>
  <c r="E20" i="3"/>
  <c r="F20" i="3"/>
  <c r="G20" i="3"/>
  <c r="H20" i="3"/>
  <c r="I20" i="3"/>
  <c r="J20" i="3"/>
  <c r="K20" i="3"/>
  <c r="B20" i="3"/>
  <c r="B18" i="3"/>
  <c r="B17" i="3"/>
  <c r="B16" i="3"/>
  <c r="C9" i="3"/>
  <c r="D9" i="3"/>
  <c r="E9" i="3"/>
  <c r="F9" i="3"/>
  <c r="G9" i="3"/>
  <c r="H9" i="3"/>
  <c r="I9" i="3"/>
  <c r="H19" i="2" s="1"/>
  <c r="J9" i="3"/>
  <c r="I19" i="2" s="1"/>
  <c r="K9" i="3"/>
  <c r="J19" i="2" s="1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B13" i="3"/>
  <c r="B12" i="3"/>
  <c r="B11" i="3"/>
  <c r="B10" i="3"/>
  <c r="B2" i="3"/>
  <c r="C2" i="3"/>
  <c r="D2" i="3"/>
  <c r="E2" i="3"/>
  <c r="F2" i="3"/>
  <c r="G2" i="3"/>
  <c r="H2" i="3"/>
  <c r="I2" i="3"/>
  <c r="J2" i="3"/>
  <c r="K2" i="3"/>
  <c r="B3" i="3"/>
  <c r="C3" i="3"/>
  <c r="D3" i="3"/>
  <c r="E3" i="3"/>
  <c r="F3" i="3"/>
  <c r="G3" i="3"/>
  <c r="H3" i="3"/>
  <c r="I3" i="3"/>
  <c r="J3" i="3"/>
  <c r="K3" i="3"/>
  <c r="B4" i="3"/>
  <c r="C4" i="3"/>
  <c r="D4" i="3"/>
  <c r="E4" i="3"/>
  <c r="F4" i="3"/>
  <c r="G4" i="3"/>
  <c r="H4" i="3"/>
  <c r="I4" i="3"/>
  <c r="J4" i="3"/>
  <c r="K4" i="3"/>
  <c r="B5" i="3"/>
  <c r="C5" i="3"/>
  <c r="D5" i="3"/>
  <c r="E5" i="3"/>
  <c r="F5" i="3"/>
  <c r="G5" i="3"/>
  <c r="H5" i="3"/>
  <c r="I5" i="3"/>
  <c r="J5" i="3"/>
  <c r="K5" i="3"/>
  <c r="B6" i="3"/>
  <c r="C6" i="3"/>
  <c r="D6" i="3"/>
  <c r="E6" i="3"/>
  <c r="F6" i="3"/>
  <c r="G6" i="3"/>
  <c r="H6" i="3"/>
  <c r="I6" i="3"/>
  <c r="J6" i="3"/>
  <c r="K6" i="3"/>
  <c r="A3" i="3"/>
  <c r="A4" i="3"/>
  <c r="A5" i="3"/>
  <c r="A6" i="3"/>
  <c r="A2" i="3"/>
  <c r="C18" i="2" l="1"/>
  <c r="I32" i="2"/>
  <c r="H26" i="2"/>
  <c r="H32" i="2"/>
  <c r="H29" i="2"/>
  <c r="H27" i="2"/>
  <c r="H31" i="2"/>
  <c r="H30" i="2"/>
  <c r="H28" i="2"/>
  <c r="K29" i="2"/>
  <c r="K32" i="2"/>
  <c r="K27" i="2"/>
  <c r="K30" i="2"/>
  <c r="K28" i="2"/>
  <c r="K31" i="2"/>
  <c r="K26" i="2"/>
  <c r="J30" i="2"/>
  <c r="J26" i="2"/>
  <c r="J31" i="2"/>
  <c r="J29" i="2"/>
  <c r="J28" i="2"/>
  <c r="J27" i="2"/>
  <c r="J32" i="2"/>
  <c r="I30" i="2"/>
  <c r="I31" i="2"/>
  <c r="I26" i="2"/>
  <c r="I27" i="2"/>
  <c r="I28" i="2"/>
  <c r="I29" i="2"/>
  <c r="C22" i="2"/>
  <c r="C21" i="2"/>
  <c r="H27" i="3"/>
  <c r="H25" i="3"/>
  <c r="H24" i="3"/>
  <c r="H26" i="3"/>
  <c r="H28" i="3"/>
  <c r="H29" i="3"/>
  <c r="J27" i="3"/>
  <c r="J26" i="3"/>
  <c r="J25" i="3"/>
  <c r="J24" i="3"/>
  <c r="J28" i="3"/>
  <c r="J29" i="3"/>
  <c r="K29" i="3"/>
  <c r="K28" i="3"/>
  <c r="I27" i="3"/>
  <c r="I26" i="3"/>
  <c r="I25" i="3"/>
  <c r="I24" i="3"/>
  <c r="I28" i="3"/>
  <c r="I29" i="3"/>
  <c r="K27" i="3"/>
  <c r="K25" i="3"/>
  <c r="K24" i="3"/>
  <c r="K26" i="3"/>
  <c r="F21" i="2"/>
  <c r="F32" i="2" s="1"/>
  <c r="F22" i="2"/>
  <c r="E21" i="2"/>
  <c r="E22" i="2"/>
  <c r="D22" i="2"/>
  <c r="D21" i="2"/>
  <c r="B27" i="3"/>
  <c r="B24" i="3"/>
  <c r="B25" i="3"/>
  <c r="B26" i="3"/>
  <c r="G26" i="3"/>
  <c r="G25" i="3"/>
  <c r="G27" i="3"/>
  <c r="G24" i="3"/>
  <c r="G29" i="3"/>
  <c r="G28" i="3"/>
  <c r="F27" i="3"/>
  <c r="F26" i="3"/>
  <c r="F24" i="3"/>
  <c r="F25" i="3"/>
  <c r="F29" i="3"/>
  <c r="F28" i="3"/>
  <c r="C24" i="3"/>
  <c r="C27" i="3"/>
  <c r="C26" i="3"/>
  <c r="C25" i="3"/>
  <c r="C28" i="3"/>
  <c r="C29" i="3"/>
  <c r="C20" i="2"/>
  <c r="C16" i="2"/>
  <c r="E16" i="2"/>
  <c r="E20" i="2"/>
  <c r="E18" i="2"/>
  <c r="B29" i="3"/>
  <c r="B28" i="3"/>
  <c r="D20" i="2"/>
  <c r="D16" i="2"/>
  <c r="D18" i="2"/>
  <c r="D27" i="3"/>
  <c r="D25" i="3"/>
  <c r="D24" i="3"/>
  <c r="D26" i="3"/>
  <c r="D28" i="3"/>
  <c r="D29" i="3"/>
  <c r="F16" i="2"/>
  <c r="F20" i="2"/>
  <c r="F18" i="2"/>
  <c r="E29" i="3"/>
  <c r="E26" i="3"/>
  <c r="E24" i="3"/>
  <c r="E27" i="3"/>
  <c r="E28" i="3"/>
  <c r="E25" i="3"/>
  <c r="C29" i="2" l="1"/>
  <c r="C27" i="2"/>
  <c r="D32" i="2"/>
  <c r="E29" i="2"/>
  <c r="F30" i="2"/>
  <c r="D29" i="2"/>
  <c r="F27" i="2"/>
  <c r="C28" i="2"/>
  <c r="C30" i="2"/>
  <c r="F28" i="2"/>
  <c r="F31" i="2"/>
  <c r="C31" i="2"/>
  <c r="E28" i="2"/>
  <c r="E32" i="2"/>
  <c r="D30" i="2"/>
  <c r="C19" i="2"/>
  <c r="E19" i="2"/>
  <c r="D19" i="2"/>
  <c r="E30" i="2"/>
  <c r="E26" i="2"/>
  <c r="C32" i="2"/>
  <c r="E31" i="2"/>
  <c r="F29" i="2"/>
  <c r="D27" i="2"/>
  <c r="D31" i="2"/>
  <c r="E27" i="2"/>
  <c r="D26" i="2"/>
  <c r="C26" i="2"/>
  <c r="D28" i="2"/>
  <c r="F26" i="2"/>
  <c r="F19" i="2"/>
</calcChain>
</file>

<file path=xl/sharedStrings.xml><?xml version="1.0" encoding="utf-8"?>
<sst xmlns="http://schemas.openxmlformats.org/spreadsheetml/2006/main" count="161" uniqueCount="91">
  <si>
    <t>THROW</t>
  </si>
  <si>
    <t>B</t>
  </si>
  <si>
    <t>A</t>
  </si>
  <si>
    <t>PRESSURE LOSS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</si>
  <si>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</si>
  <si>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[m²]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</si>
  <si>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</si>
  <si>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 xml:space="preserve">duct </t>
    </r>
    <r>
      <rPr>
        <b/>
        <sz val="11"/>
        <color theme="1"/>
        <rFont val="Calibri"/>
        <family val="2"/>
        <scheme val="minor"/>
      </rPr>
      <t xml:space="preserve"> [m²]</t>
    </r>
  </si>
  <si>
    <t>SOUND POWER SPECTRUM</t>
  </si>
  <si>
    <t>SOUND POWER, NR</t>
  </si>
  <si>
    <t>SOUND POWER, dB(A)</t>
  </si>
  <si>
    <t>[m³/h]</t>
  </si>
  <si>
    <t>[m/s]</t>
  </si>
  <si>
    <t>[m]</t>
  </si>
  <si>
    <t>[Pa]</t>
  </si>
  <si>
    <t>Sound Spectrum</t>
  </si>
  <si>
    <t>[Hz]</t>
  </si>
  <si>
    <r>
      <t>&lt; BGL : L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 xml:space="preserve"> below background level</t>
    </r>
  </si>
  <si>
    <t>critical distance</t>
  </si>
  <si>
    <t>[°C]</t>
  </si>
  <si>
    <t>flow rate, Q</t>
  </si>
  <si>
    <t>TEMPERATURE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</si>
  <si>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[-]</t>
    </r>
  </si>
  <si>
    <t>Type</t>
  </si>
  <si>
    <t>Size</t>
  </si>
  <si>
    <t>condition 1</t>
  </si>
  <si>
    <t>condition 2</t>
  </si>
  <si>
    <t>condition 3</t>
  </si>
  <si>
    <r>
      <t xml:space="preserve">CRITICAL DISTANCE (function of </t>
    </r>
    <r>
      <rPr>
        <b/>
        <sz val="12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T)</t>
    </r>
  </si>
  <si>
    <t>at 4°C</t>
  </si>
  <si>
    <t>at 6°C</t>
  </si>
  <si>
    <t>at 8°C</t>
  </si>
  <si>
    <t>at 10°C</t>
  </si>
  <si>
    <t>at 12°C</t>
  </si>
  <si>
    <t>at 125 Hz</t>
  </si>
  <si>
    <t>at 250 Hz</t>
  </si>
  <si>
    <t>at 500 Hz</t>
  </si>
  <si>
    <t>at 1 kHz</t>
  </si>
  <si>
    <t>at 2 kHz</t>
  </si>
  <si>
    <t>at 4 kHz</t>
  </si>
  <si>
    <t>at 8 kHz</t>
  </si>
  <si>
    <t>END</t>
  </si>
  <si>
    <t>Critical distance</t>
  </si>
  <si>
    <t>dT</t>
  </si>
  <si>
    <t>dT requested</t>
  </si>
  <si>
    <t>A1</t>
  </si>
  <si>
    <t>A2</t>
  </si>
  <si>
    <t>B1</t>
  </si>
  <si>
    <t>B2</t>
  </si>
  <si>
    <t>dT2</t>
  </si>
  <si>
    <t>dT1</t>
  </si>
  <si>
    <r>
      <t>throw, L</t>
    </r>
    <r>
      <rPr>
        <vertAlign val="subscript"/>
        <sz val="10"/>
        <color theme="1"/>
        <rFont val="Calibri"/>
        <family val="2"/>
        <scheme val="minor"/>
      </rPr>
      <t>T</t>
    </r>
  </si>
  <si>
    <r>
      <t>supply temperature, T</t>
    </r>
    <r>
      <rPr>
        <vertAlign val="subscript"/>
        <sz val="10"/>
        <color theme="1"/>
        <rFont val="Calibri"/>
        <family val="2"/>
        <scheme val="minor"/>
      </rPr>
      <t>s</t>
    </r>
  </si>
  <si>
    <r>
      <t>room temperature, T</t>
    </r>
    <r>
      <rPr>
        <vertAlign val="subscript"/>
        <sz val="10"/>
        <color theme="1"/>
        <rFont val="Calibri"/>
        <family val="2"/>
        <scheme val="minor"/>
      </rPr>
      <t>r</t>
    </r>
  </si>
  <si>
    <r>
      <t xml:space="preserve">static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s</t>
    </r>
  </si>
  <si>
    <r>
      <t xml:space="preserve">total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tot</t>
    </r>
  </si>
  <si>
    <r>
      <t>throw velocity, v</t>
    </r>
    <r>
      <rPr>
        <vertAlign val="subscript"/>
        <sz val="10"/>
        <color theme="1"/>
        <rFont val="Calibri"/>
        <family val="2"/>
      </rPr>
      <t>T</t>
    </r>
    <r>
      <rPr>
        <sz val="10"/>
        <color theme="1"/>
        <rFont val="Calibri"/>
        <family val="2"/>
      </rPr>
      <t xml:space="preserve"> @ L</t>
    </r>
    <r>
      <rPr>
        <vertAlign val="subscript"/>
        <sz val="10"/>
        <color theme="1"/>
        <rFont val="Calibri"/>
        <family val="2"/>
      </rPr>
      <t>T</t>
    </r>
    <r>
      <rPr>
        <sz val="10"/>
        <color theme="1"/>
        <rFont val="Calibri"/>
        <family val="2"/>
      </rPr>
      <t xml:space="preserve"> </t>
    </r>
  </si>
  <si>
    <r>
      <t>sound power, L</t>
    </r>
    <r>
      <rPr>
        <vertAlign val="subscript"/>
        <sz val="10"/>
        <color theme="1"/>
        <rFont val="Calibri"/>
        <family val="2"/>
      </rPr>
      <t>w</t>
    </r>
  </si>
  <si>
    <r>
      <t>L</t>
    </r>
    <r>
      <rPr>
        <b/>
        <vertAlign val="subscript"/>
        <sz val="10"/>
        <color theme="1"/>
        <rFont val="Calibri"/>
        <family val="2"/>
      </rPr>
      <t>w</t>
    </r>
    <r>
      <rPr>
        <b/>
        <sz val="10"/>
        <color theme="1"/>
        <rFont val="Calibri"/>
        <family val="2"/>
      </rPr>
      <t xml:space="preserve"> [dB]</t>
    </r>
  </si>
  <si>
    <t>[mm]</t>
  </si>
  <si>
    <t>Noise correction - diffuser length</t>
  </si>
  <si>
    <t>cNR</t>
  </si>
  <si>
    <t>Throw correction - diffuser length</t>
  </si>
  <si>
    <r>
      <t>cK</t>
    </r>
    <r>
      <rPr>
        <vertAlign val="subscript"/>
        <sz val="11"/>
        <color theme="1"/>
        <rFont val="Calibri"/>
        <family val="2"/>
        <scheme val="minor"/>
      </rPr>
      <t>1</t>
    </r>
  </si>
  <si>
    <t>deflectors in/out</t>
  </si>
  <si>
    <t>dB(A)</t>
  </si>
  <si>
    <t>NR</t>
  </si>
  <si>
    <t>room attenuation</t>
  </si>
  <si>
    <t>acoustics unit</t>
  </si>
  <si>
    <r>
      <t>effective air velocity, V</t>
    </r>
    <r>
      <rPr>
        <vertAlign val="subscript"/>
        <sz val="10"/>
        <color theme="1"/>
        <rFont val="Calibri"/>
        <family val="2"/>
      </rPr>
      <t>eff</t>
    </r>
  </si>
  <si>
    <r>
      <t>sound pressure, L</t>
    </r>
    <r>
      <rPr>
        <vertAlign val="subscript"/>
        <sz val="10"/>
        <color theme="1"/>
        <rFont val="Calibri"/>
        <family val="2"/>
      </rPr>
      <t>p</t>
    </r>
  </si>
  <si>
    <r>
      <t>air temperature @ L</t>
    </r>
    <r>
      <rPr>
        <vertAlign val="subscript"/>
        <sz val="10"/>
        <color theme="1"/>
        <rFont val="Calibri"/>
        <family val="2"/>
      </rPr>
      <t>T</t>
    </r>
  </si>
  <si>
    <t>deflectors out/out</t>
  </si>
  <si>
    <t>VERTICAL FLOW</t>
  </si>
  <si>
    <t>HORIZONTAL FLOW</t>
  </si>
  <si>
    <t>SLS-1
SLB-1</t>
  </si>
  <si>
    <t>SLS-3
SLB-3
SLF-3</t>
  </si>
  <si>
    <t>SLS-2
SLB-2</t>
  </si>
  <si>
    <t>SLS-4
SLB-4
SLF-4</t>
  </si>
  <si>
    <t>SP--1</t>
  </si>
  <si>
    <t>SP--2</t>
  </si>
  <si>
    <t>SP--3</t>
  </si>
  <si>
    <t>SP--4</t>
  </si>
  <si>
    <t>Selection Table SLS / SLB / SLF</t>
  </si>
  <si>
    <t>SLS-2
SLB-2
SLF-2</t>
  </si>
  <si>
    <t>Airflow direction</t>
  </si>
  <si>
    <t>Damper position</t>
  </si>
  <si>
    <t>Plenum</t>
  </si>
  <si>
    <t>100% (open)</t>
  </si>
  <si>
    <t>diffuser length, L</t>
  </si>
  <si>
    <t>L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</si>
</sst>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"/>
    <numFmt numFmtId="167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164" fontId="0" fillId="2" borderId="3" xfId="0" applyNumberForma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2" borderId="6" xfId="0" applyFill="1" applyBorder="1"/>
    <xf numFmtId="0" fontId="1" fillId="2" borderId="7" xfId="0" applyFont="1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7" xfId="0" applyFill="1" applyBorder="1"/>
    <xf numFmtId="0" fontId="1" fillId="2" borderId="9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6" fillId="0" borderId="0" xfId="0" applyFont="1"/>
    <xf numFmtId="0" fontId="0" fillId="2" borderId="10" xfId="0" applyFill="1" applyBorder="1"/>
    <xf numFmtId="0" fontId="0" fillId="2" borderId="11" xfId="0" applyFill="1" applyBorder="1"/>
    <xf numFmtId="0" fontId="1" fillId="2" borderId="12" xfId="0" applyFont="1" applyFill="1" applyBorder="1" applyAlignment="1">
      <alignment horizontal="right"/>
    </xf>
    <xf numFmtId="0" fontId="0" fillId="2" borderId="12" xfId="0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8" fillId="2" borderId="6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3" xfId="0" applyFont="1" applyFill="1" applyBorder="1"/>
    <xf numFmtId="164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0" borderId="0" xfId="0" applyFont="1"/>
    <xf numFmtId="0" fontId="9" fillId="2" borderId="1" xfId="0" applyFont="1" applyFill="1" applyBorder="1"/>
    <xf numFmtId="0" fontId="15" fillId="2" borderId="1" xfId="0" applyFont="1" applyFill="1" applyBorder="1"/>
    <xf numFmtId="1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9" fillId="0" borderId="0" xfId="0" applyFont="1"/>
    <xf numFmtId="2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3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0" fillId="0" borderId="0" xfId="0" applyFont="1" applyFill="1" applyBorder="1"/>
    <xf numFmtId="0" fontId="9" fillId="0" borderId="13" xfId="0" applyFont="1" applyFill="1" applyBorder="1" applyAlignment="1">
      <alignment horizontal="center"/>
    </xf>
    <xf numFmtId="166" fontId="10" fillId="0" borderId="13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/>
    <xf numFmtId="0" fontId="9" fillId="2" borderId="1" xfId="0" applyFont="1" applyFill="1" applyBorder="1" applyAlignment="1">
      <alignment vertical="top"/>
    </xf>
    <xf numFmtId="0" fontId="9" fillId="2" borderId="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11</xdr:row>
      <xdr:rowOff>57149</xdr:rowOff>
    </xdr:from>
    <xdr:to>
      <xdr:col>2</xdr:col>
      <xdr:colOff>630075</xdr:colOff>
      <xdr:row>11</xdr:row>
      <xdr:rowOff>279642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2000249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11</xdr:row>
      <xdr:rowOff>57149</xdr:rowOff>
    </xdr:from>
    <xdr:to>
      <xdr:col>3</xdr:col>
      <xdr:colOff>620550</xdr:colOff>
      <xdr:row>11</xdr:row>
      <xdr:rowOff>279642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2000249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11</xdr:row>
      <xdr:rowOff>57149</xdr:rowOff>
    </xdr:from>
    <xdr:to>
      <xdr:col>4</xdr:col>
      <xdr:colOff>630075</xdr:colOff>
      <xdr:row>11</xdr:row>
      <xdr:rowOff>279642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2000249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11</xdr:row>
      <xdr:rowOff>57149</xdr:rowOff>
    </xdr:from>
    <xdr:to>
      <xdr:col>5</xdr:col>
      <xdr:colOff>620550</xdr:colOff>
      <xdr:row>11</xdr:row>
      <xdr:rowOff>279642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2000249"/>
          <a:ext cx="334800" cy="222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11</xdr:row>
      <xdr:rowOff>123825</xdr:rowOff>
    </xdr:from>
    <xdr:to>
      <xdr:col>0</xdr:col>
      <xdr:colOff>638100</xdr:colOff>
      <xdr:row>12</xdr:row>
      <xdr:rowOff>76182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526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36</xdr:row>
      <xdr:rowOff>66675</xdr:rowOff>
    </xdr:from>
    <xdr:to>
      <xdr:col>0</xdr:col>
      <xdr:colOff>790575</xdr:colOff>
      <xdr:row>37</xdr:row>
      <xdr:rowOff>122306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2670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29</xdr:row>
      <xdr:rowOff>185457</xdr:rowOff>
    </xdr:from>
    <xdr:to>
      <xdr:col>0</xdr:col>
      <xdr:colOff>812987</xdr:colOff>
      <xdr:row>31</xdr:row>
      <xdr:rowOff>50588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32</xdr:row>
      <xdr:rowOff>185457</xdr:rowOff>
    </xdr:from>
    <xdr:ext cx="771525" cy="246131"/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7</xdr:row>
      <xdr:rowOff>54427</xdr:rowOff>
    </xdr:from>
    <xdr:to>
      <xdr:col>0</xdr:col>
      <xdr:colOff>1130860</xdr:colOff>
      <xdr:row>9</xdr:row>
      <xdr:rowOff>21678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6259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</xdr:row>
      <xdr:rowOff>123825</xdr:rowOff>
    </xdr:from>
    <xdr:to>
      <xdr:col>0</xdr:col>
      <xdr:colOff>638100</xdr:colOff>
      <xdr:row>12</xdr:row>
      <xdr:rowOff>76182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36</xdr:row>
      <xdr:rowOff>66675</xdr:rowOff>
    </xdr:from>
    <xdr:to>
      <xdr:col>0</xdr:col>
      <xdr:colOff>790575</xdr:colOff>
      <xdr:row>37</xdr:row>
      <xdr:rowOff>122306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29</xdr:row>
      <xdr:rowOff>185457</xdr:rowOff>
    </xdr:from>
    <xdr:to>
      <xdr:col>0</xdr:col>
      <xdr:colOff>812987</xdr:colOff>
      <xdr:row>31</xdr:row>
      <xdr:rowOff>50588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32</xdr:row>
      <xdr:rowOff>185457</xdr:rowOff>
    </xdr:from>
    <xdr:ext cx="771525" cy="246131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7</xdr:row>
      <xdr:rowOff>54427</xdr:rowOff>
    </xdr:from>
    <xdr:to>
      <xdr:col>0</xdr:col>
      <xdr:colOff>1130860</xdr:colOff>
      <xdr:row>9</xdr:row>
      <xdr:rowOff>21678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</xdr:row>
      <xdr:rowOff>123825</xdr:rowOff>
    </xdr:from>
    <xdr:to>
      <xdr:col>0</xdr:col>
      <xdr:colOff>638100</xdr:colOff>
      <xdr:row>12</xdr:row>
      <xdr:rowOff>76182</xdr:rowOff>
    </xdr:to>
    <xdr:pic>
      <xdr:nvPicPr>
        <xdr:cNvPr id="35" name="Afbeelding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36</xdr:row>
      <xdr:rowOff>66675</xdr:rowOff>
    </xdr:from>
    <xdr:to>
      <xdr:col>0</xdr:col>
      <xdr:colOff>790575</xdr:colOff>
      <xdr:row>37</xdr:row>
      <xdr:rowOff>122306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29</xdr:row>
      <xdr:rowOff>185457</xdr:rowOff>
    </xdr:from>
    <xdr:to>
      <xdr:col>0</xdr:col>
      <xdr:colOff>812987</xdr:colOff>
      <xdr:row>31</xdr:row>
      <xdr:rowOff>50588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32</xdr:row>
      <xdr:rowOff>185457</xdr:rowOff>
    </xdr:from>
    <xdr:ext cx="771525" cy="246131"/>
    <xdr:pic>
      <xdr:nvPicPr>
        <xdr:cNvPr id="39" name="Afbeelding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7</xdr:row>
      <xdr:rowOff>54427</xdr:rowOff>
    </xdr:from>
    <xdr:to>
      <xdr:col>0</xdr:col>
      <xdr:colOff>1130860</xdr:colOff>
      <xdr:row>9</xdr:row>
      <xdr:rowOff>21678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41" name="Afbeelding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Normal="100" workbookViewId="0">
      <selection activeCell="C2" sqref="C2"/>
    </sheetView>
  </sheetViews>
  <sheetFormatPr baseColWidth="10" defaultColWidth="8.83203125" defaultRowHeight="15" x14ac:dyDescent="0.2"/>
  <cols>
    <col min="1" max="1" width="26.5" customWidth="1"/>
    <col min="2" max="2" width="15" customWidth="1"/>
    <col min="3" max="6" width="13.5" customWidth="1"/>
    <col min="7" max="7" width="3.5" style="67" hidden="1" customWidth="1"/>
    <col min="8" max="11" width="13.5" hidden="1" customWidth="1"/>
    <col min="12" max="12" width="0" hidden="1" customWidth="1"/>
  </cols>
  <sheetData>
    <row r="1" spans="1:11" ht="21" x14ac:dyDescent="0.25">
      <c r="A1" s="6" t="s">
        <v>83</v>
      </c>
    </row>
    <row r="2" spans="1:11" s="57" customFormat="1" ht="14" x14ac:dyDescent="0.2">
      <c r="A2" s="55" t="s">
        <v>20</v>
      </c>
      <c r="B2" s="56" t="s">
        <v>11</v>
      </c>
      <c r="C2" s="66">
        <v>300</v>
      </c>
      <c r="G2" s="68"/>
    </row>
    <row r="3" spans="1:11" s="57" customFormat="1" ht="14" x14ac:dyDescent="0.2">
      <c r="A3" s="55" t="s">
        <v>89</v>
      </c>
      <c r="B3" s="56" t="s">
        <v>59</v>
      </c>
      <c r="C3" s="66">
        <v>1000</v>
      </c>
      <c r="G3" s="68"/>
    </row>
    <row r="4" spans="1:11" s="57" customFormat="1" ht="16" x14ac:dyDescent="0.25">
      <c r="A4" s="55" t="s">
        <v>51</v>
      </c>
      <c r="B4" s="56" t="s">
        <v>13</v>
      </c>
      <c r="C4" s="66">
        <v>4</v>
      </c>
      <c r="G4" s="68"/>
    </row>
    <row r="5" spans="1:11" s="57" customFormat="1" ht="16" x14ac:dyDescent="0.25">
      <c r="A5" s="55" t="s">
        <v>52</v>
      </c>
      <c r="B5" s="56" t="s">
        <v>19</v>
      </c>
      <c r="C5" s="66">
        <v>18</v>
      </c>
      <c r="G5" s="68"/>
    </row>
    <row r="6" spans="1:11" s="57" customFormat="1" ht="16" x14ac:dyDescent="0.25">
      <c r="A6" s="55" t="s">
        <v>53</v>
      </c>
      <c r="B6" s="56" t="s">
        <v>19</v>
      </c>
      <c r="C6" s="66">
        <v>26</v>
      </c>
      <c r="G6" s="68"/>
    </row>
    <row r="7" spans="1:11" s="57" customFormat="1" ht="14" x14ac:dyDescent="0.2">
      <c r="A7" s="55" t="s">
        <v>67</v>
      </c>
      <c r="B7" s="56" t="str">
        <f>CONCATENATE("[",C8,"]")</f>
        <v>[NR]</v>
      </c>
      <c r="C7" s="66">
        <v>8</v>
      </c>
      <c r="G7" s="68"/>
    </row>
    <row r="8" spans="1:11" s="57" customFormat="1" ht="14" x14ac:dyDescent="0.2">
      <c r="A8" s="55" t="s">
        <v>68</v>
      </c>
      <c r="B8" s="56"/>
      <c r="C8" s="66" t="s">
        <v>66</v>
      </c>
      <c r="G8" s="68"/>
    </row>
    <row r="9" spans="1:11" s="57" customFormat="1" ht="8.25" customHeight="1" x14ac:dyDescent="0.2">
      <c r="G9" s="68"/>
    </row>
    <row r="10" spans="1:11" s="57" customFormat="1" ht="37.5" customHeight="1" x14ac:dyDescent="0.2">
      <c r="B10" s="74" t="s">
        <v>23</v>
      </c>
      <c r="C10" s="75" t="s">
        <v>75</v>
      </c>
      <c r="D10" s="75" t="s">
        <v>84</v>
      </c>
      <c r="E10" s="75" t="s">
        <v>76</v>
      </c>
      <c r="F10" s="77" t="s">
        <v>78</v>
      </c>
      <c r="G10" s="76"/>
      <c r="H10" s="75"/>
      <c r="I10" s="75"/>
      <c r="J10" s="75"/>
      <c r="K10" s="75"/>
    </row>
    <row r="11" spans="1:11" s="57" customFormat="1" ht="14" x14ac:dyDescent="0.2">
      <c r="B11" s="58" t="s">
        <v>90</v>
      </c>
      <c r="C11" s="28">
        <f>IF(ISBLANK(TechData!D3),"",$C$3)</f>
        <v>1000</v>
      </c>
      <c r="D11" s="28">
        <f>IF(ISBLANK(TechData!E3),"",$C$3)</f>
        <v>1000</v>
      </c>
      <c r="E11" s="28">
        <f>IF(ISBLANK(TechData!F3),"",$C$3)</f>
        <v>1000</v>
      </c>
      <c r="F11" s="29">
        <f>IF(ISBLANK(TechData!G3),"",$C$3)</f>
        <v>1000</v>
      </c>
      <c r="G11" s="69"/>
      <c r="H11" s="29"/>
      <c r="I11" s="29"/>
      <c r="J11" s="29"/>
      <c r="K11" s="29"/>
    </row>
    <row r="12" spans="1:11" s="57" customFormat="1" ht="25.5" customHeight="1" x14ac:dyDescent="0.2">
      <c r="B12" s="58" t="s">
        <v>85</v>
      </c>
      <c r="C12" s="28"/>
      <c r="D12" s="28"/>
      <c r="E12" s="28"/>
      <c r="F12" s="29"/>
      <c r="G12" s="69"/>
      <c r="H12" s="29"/>
      <c r="I12" s="29"/>
      <c r="J12" s="29"/>
      <c r="K12" s="29"/>
    </row>
    <row r="13" spans="1:11" s="57" customFormat="1" ht="14" x14ac:dyDescent="0.2">
      <c r="B13" s="58" t="s">
        <v>86</v>
      </c>
      <c r="C13" s="28" t="str">
        <f>IF(ISBLANK(TechData!D5),"",TechData!D5)</f>
        <v>100% (open)</v>
      </c>
      <c r="D13" s="28" t="str">
        <f>IF(ISBLANK(TechData!E5),"",TechData!E5)</f>
        <v>100% (open)</v>
      </c>
      <c r="E13" s="28" t="str">
        <f>IF(ISBLANK(TechData!F5),"",TechData!F5)</f>
        <v>100% (open)</v>
      </c>
      <c r="F13" s="29" t="str">
        <f>IF(ISBLANK(TechData!G5),"",TechData!G5)</f>
        <v>100% (open)</v>
      </c>
      <c r="G13" s="69"/>
      <c r="H13" s="29"/>
      <c r="I13" s="29"/>
      <c r="J13" s="29"/>
      <c r="K13" s="29"/>
    </row>
    <row r="14" spans="1:11" s="57" customFormat="1" ht="14" x14ac:dyDescent="0.2">
      <c r="B14" s="58" t="s">
        <v>87</v>
      </c>
      <c r="C14" s="28" t="str">
        <f>IF(ISBLANK(TechData!D6),"",TechData!D6)</f>
        <v>SP--1</v>
      </c>
      <c r="D14" s="28" t="str">
        <f>IF(ISBLANK(TechData!E6),"",TechData!E6)</f>
        <v>SP--2</v>
      </c>
      <c r="E14" s="28" t="str">
        <f>IF(ISBLANK(TechData!F6),"",TechData!F6)</f>
        <v>SP--3</v>
      </c>
      <c r="F14" s="29" t="str">
        <f>IF(ISBLANK(TechData!G6),"",TechData!G6)</f>
        <v>SP--4</v>
      </c>
      <c r="G14" s="69"/>
      <c r="H14" s="29"/>
      <c r="I14" s="29"/>
      <c r="J14" s="29"/>
      <c r="K14" s="29"/>
    </row>
    <row r="15" spans="1:11" s="57" customFormat="1" ht="16" x14ac:dyDescent="0.25">
      <c r="A15" s="59" t="s">
        <v>69</v>
      </c>
      <c r="B15" s="56" t="s">
        <v>12</v>
      </c>
      <c r="C15" s="61">
        <f>($C$2/$C$3*1000)/3600/TechData!D8</f>
        <v>5.4706945885131502</v>
      </c>
      <c r="D15" s="61">
        <f>($C$2/$C$3*1000)/3600/TechData!E8</f>
        <v>3.3950989145965988</v>
      </c>
      <c r="E15" s="61">
        <f>($C$2/$C$3*1000)/3600/TechData!F8</f>
        <v>2.4612821152694835</v>
      </c>
      <c r="F15" s="61">
        <f>($C$2/$C$3*1000)/3600/TechData!G8</f>
        <v>1.9303439452955595</v>
      </c>
      <c r="G15" s="70"/>
      <c r="H15" s="61">
        <f>($C$2/$C$3*1000)/3600/TechData!I8</f>
        <v>8.5040347876638425</v>
      </c>
      <c r="I15" s="61">
        <f>($C$2/$C$3*1000)/3600/TechData!J8</f>
        <v>4.3204729537715965</v>
      </c>
      <c r="J15" s="61">
        <f>($C$2/$C$3*1000)/3600/TechData!K8</f>
        <v>2.884128060230263</v>
      </c>
      <c r="K15" s="61">
        <f>($C$2/$C$3*1000)/3600/TechData!L8</f>
        <v>2.1620614749463289</v>
      </c>
    </row>
    <row r="16" spans="1:11" s="57" customFormat="1" ht="16" x14ac:dyDescent="0.25">
      <c r="A16" s="59" t="s">
        <v>54</v>
      </c>
      <c r="B16" s="56" t="s">
        <v>14</v>
      </c>
      <c r="C16" s="60">
        <f>IF(C10="","",IF(ISBLANK(TechData!D12),"-",IF(((SelectionData!$C$2/$C$3*1000)/TechData!D12)^(1/TechData!D13)&lt;1,"&lt;1",((SelectionData!$C$2/$C$3*1000)/TechData!D12)^(1/TechData!D13))))</f>
        <v>57.230416060578506</v>
      </c>
      <c r="D16" s="60">
        <f>IF(D10="","",IF(ISBLANK(TechData!E12),"-",IF(((SelectionData!$C$2/$C$3*1000)/TechData!E12)^(1/TechData!E13)&lt;1,"&lt;1",((SelectionData!$C$2/$C$3*1000)/TechData!E12)^(1/TechData!E13))))</f>
        <v>11.540720246916012</v>
      </c>
      <c r="E16" s="60">
        <f>IF(E10="","",IF(ISBLANK(TechData!F12),"-",IF(((SelectionData!$C$2/$C$3*1000)/TechData!F12)^(1/TechData!F13)&lt;1,"&lt;1",((SelectionData!$C$2/$C$3*1000)/TechData!F12)^(1/TechData!F13))))</f>
        <v>6.2865061306011381</v>
      </c>
      <c r="F16" s="60">
        <f>IF(F10="","",IF(ISBLANK(TechData!G12),"-",IF(((SelectionData!$C$2/$C$3*1000)/TechData!G12)^(1/TechData!G13)&lt;1,"&lt;1",((SelectionData!$C$2/$C$3*1000)/TechData!G12)^(1/TechData!G13))))</f>
        <v>3.5854973868844309</v>
      </c>
      <c r="G16" s="71"/>
      <c r="H16" s="60" t="str">
        <f>IF(H10="","",IF(ISBLANK(TechData!I12),"-",IF(((SelectionData!$C$2/$C$3*1000)/TechData!I12)^(1/TechData!I13)&lt;1,"&lt;1",((SelectionData!$C$2/$C$3*1000)/TechData!I12)^(1/TechData!I13))))</f>
        <v/>
      </c>
      <c r="I16" s="60" t="str">
        <f>IF(I10="","",IF(ISBLANK(TechData!J12),"-",IF(((SelectionData!$C$2/$C$3*1000)/TechData!J12)^(1/TechData!J13)&lt;1,"&lt;1",((SelectionData!$C$2/$C$3*1000)/TechData!J12)^(1/TechData!J13))))</f>
        <v/>
      </c>
      <c r="J16" s="60" t="str">
        <f>IF(J10="","",IF(ISBLANK(TechData!K12),"-",IF(((SelectionData!$C$2/$C$3*1000)/TechData!K12)^(1/TechData!K13)&lt;1,"&lt;1",((SelectionData!$C$2/$C$3*1000)/TechData!K12)^(1/TechData!K13))))</f>
        <v/>
      </c>
      <c r="K16" s="60" t="str">
        <f>IF(K10="","",IF(ISBLANK(TechData!L12),"-",IF(((SelectionData!$C$2/$C$3*1000)/TechData!L12)^(1/TechData!L13)&lt;1,"&lt;1",((SelectionData!$C$2/$C$3*1000)/TechData!L12)^(1/TechData!L13))))</f>
        <v/>
      </c>
    </row>
    <row r="17" spans="1:11" s="57" customFormat="1" ht="16" x14ac:dyDescent="0.25">
      <c r="A17" s="59" t="s">
        <v>55</v>
      </c>
      <c r="B17" s="56" t="s">
        <v>14</v>
      </c>
      <c r="C17" s="60">
        <f>IF(C10="","",IF(ISBLANK(TechData!D12),"-",IF(((SelectionData!$C$2/$C$3*1000)/TechData!D12)^(1/TechData!D13)+0.5*1.2*((SelectionData!$C$2/$C$3*1000)/3600/IF($C$3&lt;=1600,TechData!D14,2*TechData!D14))^2&lt;1,"&lt;1",((SelectionData!$C$2/$C$3*1000)/TechData!D12)^(1/TechData!D13)+0.5*1.2*((SelectionData!$C$2/$C$3*1000)/3600/IF($C$3&lt;=1600,TechData!D14,2*TechData!D14))^2)))</f>
        <v>84.897853940512874</v>
      </c>
      <c r="D17" s="60">
        <f>IF(D10="","",IF(ISBLANK(TechData!E12),"-",IF(((SelectionData!$C$2/$C$3*1000)/TechData!E12)^(1/TechData!E13)+0.5*1.2*((SelectionData!$C$2/$C$3*1000)/3600/IF($C$3&lt;=1600,TechData!E14,2*TechData!E14))^2&lt;1,"&lt;1",((SelectionData!$C$2/$C$3*1000)/TechData!E12)^(1/TechData!E13)+0.5*1.2*((SelectionData!$C$2/$C$3*1000)/3600/IF($C$3&lt;=1600,TechData!E14,2*TechData!E14))^2)))</f>
        <v>21.847644038657727</v>
      </c>
      <c r="E17" s="60">
        <f>IF(E10="","",IF(ISBLANK(TechData!F12),"-",IF(((SelectionData!$C$2/$C$3*1000)/TechData!F12)^(1/TechData!F13)+0.5*1.2*((SelectionData!$C$2/$C$3*1000)/3600/IF($C$3&lt;=1600,TechData!F14,2*TechData!F14))^2&lt;1,"&lt;1",((SelectionData!$C$2/$C$3*1000)/TechData!F12)^(1/TechData!F13)+0.5*1.2*((SelectionData!$C$2/$C$3*1000)/3600/IF($C$3&lt;=1600,TechData!F14,2*TechData!F14))^2)))</f>
        <v>10.508222115698544</v>
      </c>
      <c r="F17" s="60">
        <f>IF(F10="","",IF(ISBLANK(TechData!G12),"-",IF(((SelectionData!$C$2/$C$3*1000)/TechData!G12)^(1/TechData!G13)+0.5*1.2*((SelectionData!$C$2/$C$3*1000)/3600/IF($C$3&lt;=1600,TechData!G14,2*TechData!G14))^2&lt;1,"&lt;1",((SelectionData!$C$2/$C$3*1000)/TechData!G12)^(1/TechData!G13)+0.5*1.2*((SelectionData!$C$2/$C$3*1000)/3600/IF($C$3&lt;=1600,TechData!G14,2*TechData!G14))^2)))</f>
        <v>7.8072133719818364</v>
      </c>
      <c r="G17" s="71" t="str">
        <f>IF(G10="","",IF(ISBLANK(TechData!H12),"-",IF(((SelectionData!$C$2/$C$3*1000)/TechData!H12)^(1/TechData!H13)+0.5*1.2*((SelectionData!$C$2/$C$3*1000)/3600/TechData!H14)^2&lt;1,"&lt;1",((SelectionData!$C$2/$C$3*1000)/TechData!H12)^(1/TechData!H13)+0.5*1.2*((SelectionData!$C$2/$C$3*1000)/3600/TechData!H14)^2)))</f>
        <v/>
      </c>
      <c r="H17" s="60" t="str">
        <f>IF(H10="","",IF(ISBLANK(TechData!I12),"-",IF(((SelectionData!$C$2/$C$3*1000)/TechData!I12)^(1/TechData!I13)+0.5*1.2*((SelectionData!$C$2/$C$3*1000)/3600/IF($C$3&lt;=1600,TechData!I14,2*TechData!I14))^2&lt;1,"&lt;1",((SelectionData!$C$2/$C$3*1000)/TechData!I12)^(1/TechData!I13)+0.5*1.2*((SelectionData!$C$2/$C$3*1000)/3600/IF($C$3&lt;=1600,TechData!I14,2*TechData!I14))^2)))</f>
        <v/>
      </c>
      <c r="I17" s="60" t="str">
        <f>IF(I10="","",IF(ISBLANK(TechData!J12),"-",IF(((SelectionData!$C$2/$C$3*1000)/TechData!J12)^(1/TechData!J13)+0.5*1.2*((SelectionData!$C$2/$C$3*1000)/3600/IF($C$3&lt;=1600,TechData!J14,2*TechData!J14))^2&lt;1,"&lt;1",((SelectionData!$C$2/$C$3*1000)/TechData!J12)^(1/TechData!J13)+0.5*1.2*((SelectionData!$C$2/$C$3*1000)/3600/IF($C$3&lt;=1600,TechData!J14,2*TechData!J14))^2)))</f>
        <v/>
      </c>
      <c r="J17" s="60" t="str">
        <f>IF(J10="","",IF(ISBLANK(TechData!K12),"-",IF(((SelectionData!$C$2/$C$3*1000)/TechData!K12)^(1/TechData!K13)+0.5*1.2*((SelectionData!$C$2/$C$3*1000)/3600/IF($C$3&lt;=1600,TechData!K14,2*TechData!K14))^2&lt;1,"&lt;1",((SelectionData!$C$2/$C$3*1000)/TechData!K12)^(1/TechData!K13)+0.5*1.2*((SelectionData!$C$2/$C$3*1000)/3600/IF($C$3&lt;=1600,TechData!K14,2*TechData!K14))^2)))</f>
        <v/>
      </c>
      <c r="K17" s="60" t="str">
        <f>IF(K10="","",IF(ISBLANK(TechData!L12),"-",IF(((SelectionData!$C$2/$C$3*1000)/TechData!L12)^(1/TechData!L13)+0.5*1.2*((SelectionData!$C$2/$C$3*1000)/3600/IF($C$3&lt;=1600,TechData!L14,2*TechData!L14))^2&lt;1,"&lt;1",((SelectionData!$C$2/$C$3*1000)/TechData!L12)^(1/TechData!L13)+0.5*1.2*((SelectionData!$C$2/$C$3*1000)/3600/IF($C$3&lt;=1600,TechData!L14,2*TechData!L14))^2)))</f>
        <v/>
      </c>
    </row>
    <row r="18" spans="1:11" s="57" customFormat="1" ht="16" x14ac:dyDescent="0.25">
      <c r="A18" s="59" t="s">
        <v>56</v>
      </c>
      <c r="B18" s="56" t="s">
        <v>12</v>
      </c>
      <c r="C18" s="63">
        <f>IF(C10="","",IF(ISBLANK(TechData!D9),"-",IF(((SelectionData!$C$2/$C$3*1000)/3600/TechData!D8)*(TechData!D9*CorrectionFactors!$B$5)*SQRT(TechData!D8)/(SelectionData!$C$4-TechData!D10)&gt;0.75,"&gt;0.75",((SelectionData!$C$2/$C$3*1000)/3600/TechData!D8)*(TechData!D9*CorrectionFactors!$B$5)*SQRT(TechData!D8)/(SelectionData!$C$4-TechData!D10))))</f>
        <v>0.42340041283590829</v>
      </c>
      <c r="D18" s="63">
        <f>IF(D10="","",IF(ISBLANK(TechData!E9),"-",IF(((SelectionData!$C$2/$C$3*1000)/3600/TechData!E8)*(TechData!E9*CorrectionFactors!$B$5)*SQRT(TechData!E8)/(SelectionData!$C$4-TechData!E10)&gt;0.75,"&gt;0.75",((SelectionData!$C$2/$C$3*1000)/3600/TechData!E8)*(TechData!E9*CorrectionFactors!$B$5)*SQRT(TechData!E8)/(SelectionData!$C$4-TechData!E10))))</f>
        <v>0.36218356479004332</v>
      </c>
      <c r="E18" s="63">
        <f>IF(E10="","",IF(ISBLANK(TechData!F9),"-",IF(((SelectionData!$C$2/$C$3*1000)/3600/TechData!F8)*(TechData!F9*CorrectionFactors!$B$5)*SQRT(TechData!F8)/(SelectionData!$C$4-TechData!F10)&gt;0.75,"&gt;0.75",((SelectionData!$C$2/$C$3*1000)/3600/TechData!F8)*(TechData!F9*CorrectionFactors!$B$5)*SQRT(TechData!F8)/(SelectionData!$C$4-TechData!F10))))</f>
        <v>0.33359545835717724</v>
      </c>
      <c r="F18" s="63">
        <f>IF(F10="","",IF(ISBLANK(TechData!G9),"-",IF(((SelectionData!$C$2/$C$3*1000)/3600/TechData!G8)*(TechData!G9*CorrectionFactors!$B$5)*SQRT(TechData!G8)/(SelectionData!$C$4-TechData!G10)&gt;0.75,"&gt;0.75",((SelectionData!$C$2/$C$3*1000)/3600/TechData!G8)*(TechData!G9*CorrectionFactors!$B$5)*SQRT(TechData!G8)/(SelectionData!$C$4-TechData!G10))))</f>
        <v>0.3185419756124957</v>
      </c>
      <c r="G18" s="72" t="str">
        <f>IF(G10="","",IF(ISBLANK(TechData!H9),"-",IF(((SelectionData!$C$2/$C$3*1000)/3600/TechData!H8)*(TechData!H9*CorrectionFactors!$B$5)*SQRT(TechData!H8)/(SelectionData!$C$4-TechData!H10)&gt;0.75,"&gt;0.75",((SelectionData!$C$2/$C$3*1000)/3600/TechData!H8)*(TechData!H9*CorrectionFactors!$B$5)*SQRT(TechData!H8)/(SelectionData!$C$4-TechData!H10))))</f>
        <v/>
      </c>
      <c r="H18" s="63" t="str">
        <f>IF(H10="","",IF(ISBLANK(TechData!I9),"-",IF(((SelectionData!$C$2/$C$3*1000)/3600/TechData!I8)*(TechData!I9*CorrectionFactors!$B$5)*SQRT(TechData!I8)/(SelectionData!$C$4-TechData!I10)&gt;0.75,"&gt;0.75",((SelectionData!$C$2/$C$3*1000)/3600/TechData!I8)*(TechData!I9*CorrectionFactors!$B$5)*SQRT(TechData!I8)/(SelectionData!$C$4-TechData!I10))))</f>
        <v/>
      </c>
      <c r="I18" s="63" t="str">
        <f>IF(I10="","",IF(ISBLANK(TechData!J9),"-",IF(((SelectionData!$C$2/$C$3*1000)/3600/TechData!J8)*(TechData!J9*CorrectionFactors!$B$5)*SQRT(TechData!J8)/(SelectionData!$C$4-TechData!J10)&gt;0.75,"&gt;0.75",((SelectionData!$C$2/$C$3*1000)/3600/TechData!J8)*(TechData!J9*CorrectionFactors!$B$5)*SQRT(TechData!J8)/(SelectionData!$C$4-TechData!J10))))</f>
        <v/>
      </c>
      <c r="J18" s="63" t="str">
        <f>IF(J10="","",IF(ISBLANK(TechData!K9),"-",IF(((SelectionData!$C$2/$C$3*1000)/3600/TechData!K8)*(TechData!K9*CorrectionFactors!$B$5)*SQRT(TechData!K8)/(SelectionData!$C$4-TechData!K10)&gt;0.75,"&gt;0.75",((SelectionData!$C$2/$C$3*1000)/3600/TechData!K8)*(TechData!K9*CorrectionFactors!$B$5)*SQRT(TechData!K8)/(SelectionData!$C$4-TechData!K10))))</f>
        <v/>
      </c>
      <c r="K18" s="63" t="str">
        <f>IF(K10="","",IF(ISBLANK(TechData!L9),"-",IF(((SelectionData!$C$2/$C$3*1000)/3600/TechData!L8)*(TechData!L9*CorrectionFactors!$B$5)*SQRT(TechData!L8)/(SelectionData!$C$4-TechData!L10)&gt;0.75,"&gt;0.75",((SelectionData!$C$2/$C$3*1000)/3600/TechData!L8)*(TechData!L9*CorrectionFactors!$B$5)*SQRT(TechData!L8)/(SelectionData!$C$4-TechData!L10))))</f>
        <v/>
      </c>
    </row>
    <row r="19" spans="1:11" s="57" customFormat="1" ht="14" x14ac:dyDescent="0.2">
      <c r="A19" s="59" t="s">
        <v>18</v>
      </c>
      <c r="B19" s="56" t="s">
        <v>13</v>
      </c>
      <c r="C19" s="61">
        <f ca="1">IF(C10="","",IF(OR($C$5&gt;=$C$6,IntermediateCalcul!B9=""),"-",10^(FORECAST(ABS($C$5-$C$6),IntermediateCalcul!B$26:B$27,IntermediateCalcul!B$24:B$25)*LOG((SelectionData!$C$2/$C$3*1000))+FORECAST(ABS($C$5-$C$6),IntermediateCalcul!B$28:B$29,IntermediateCalcul!B$24:B$25)+LOG(CorrectionFactors!$B$5))))</f>
        <v>12.375116017906688</v>
      </c>
      <c r="D19" s="61">
        <f ca="1">IF(D10="","",IF(OR($C$5&gt;=$C$6,IntermediateCalcul!C9=""),"-",10^(FORECAST(ABS($C$5-$C$6),IntermediateCalcul!C$26:C$27,IntermediateCalcul!C$24:C$25)*LOG((SelectionData!$C$2/$C$3*1000))+FORECAST(ABS($C$5-$C$6),IntermediateCalcul!C$28:C$29,IntermediateCalcul!C$24:C$25)+LOG(CorrectionFactors!$B$5))))</f>
        <v>5.8223205056224323</v>
      </c>
      <c r="E19" s="61">
        <f ca="1">IF(E10="","",IF(OR($C$5&gt;=$C$6,IntermediateCalcul!D9=""),"-",10^(FORECAST(ABS($C$5-$C$6),IntermediateCalcul!D$26:D$27,IntermediateCalcul!D$24:D$25)*LOG((SelectionData!$C$2/$C$3*1000))+FORECAST(ABS($C$5-$C$6),IntermediateCalcul!D$28:D$29,IntermediateCalcul!D$24:D$25)+LOG(CorrectionFactors!$B$5))))</f>
        <v>3.7458318946347564</v>
      </c>
      <c r="F19" s="61">
        <f ca="1">IF(F10="","",IF(OR($C$5&gt;=$C$6,IntermediateCalcul!E9=""),"-",10^(FORECAST(ABS($C$5-$C$6),IntermediateCalcul!E$26:E$27,IntermediateCalcul!E$24:E$25)*LOG((SelectionData!$C$2/$C$3*1000))+FORECAST(ABS($C$5-$C$6),IntermediateCalcul!E$28:E$29,IntermediateCalcul!E$24:E$25)+LOG(CorrectionFactors!$B$5))))</f>
        <v>2.7393210715066596</v>
      </c>
      <c r="G19" s="70" t="str">
        <f>IF(G10="","",IF(OR($C$5&gt;=$C$6,IntermediateCalcul!H9=""),"-",10^(FORECAST(ABS($C$5-$C$6),IntermediateCalcul!H$26:H$27,IntermediateCalcul!H$24:H$25)*LOG((SelectionData!$C$2/$C$3*1000))+FORECAST(ABS($C$5-$C$6),IntermediateCalcul!H$28:H$29,IntermediateCalcul!H$24:H$25)+LOG(CorrectionFactors!$B$5))))</f>
        <v/>
      </c>
      <c r="H19" s="61" t="str">
        <f>IF(H10="","",IF(OR($C$5&gt;=$C$6,IntermediateCalcul!I9=""),"-",10^(FORECAST(ABS($C$5-$C$6),IntermediateCalcul!I$26:I$27,IntermediateCalcul!I$24:I$25)*LOG((SelectionData!$C$2/$C$3*1000))+FORECAST(ABS($C$5-$C$6),IntermediateCalcul!I$28:I$29,IntermediateCalcul!I$24:I$25)+LOG(CorrectionFactors!$B$5))))</f>
        <v/>
      </c>
      <c r="I19" s="61" t="str">
        <f>IF(I10="","",IF(OR($C$5&gt;=$C$6,IntermediateCalcul!J9=""),"-",10^(FORECAST(ABS($C$5-$C$6),IntermediateCalcul!J$26:J$27,IntermediateCalcul!J$24:J$25)*LOG((SelectionData!$C$2/$C$3*1000))+FORECAST(ABS($C$5-$C$6),IntermediateCalcul!J$28:J$29,IntermediateCalcul!J$24:J$25)+LOG(CorrectionFactors!$B$5))))</f>
        <v/>
      </c>
      <c r="J19" s="61" t="str">
        <f>IF(J10="","",IF(OR($C$5&gt;=$C$6,IntermediateCalcul!K9=""),"-",10^(FORECAST(ABS($C$5-$C$6),IntermediateCalcul!K$26:K$27,IntermediateCalcul!K$24:K$25)*LOG((SelectionData!$C$2/$C$3*1000))+FORECAST(ABS($C$5-$C$6),IntermediateCalcul!K$28:K$29,IntermediateCalcul!K$24:K$25)+LOG(CorrectionFactors!$B$5))))</f>
        <v/>
      </c>
      <c r="K19" s="61" t="str">
        <f>IF(K10="","",IF(OR($C$5&gt;=$C$6,IntermediateCalcul!L9=""),"-",10^(FORECAST(ABS($C$5-$C$6),IntermediateCalcul!L$26:L$27,IntermediateCalcul!L$24:L$25)*LOG((SelectionData!$C$2/$C$3*1000))+FORECAST(ABS($C$5-$C$6),IntermediateCalcul!L$28:L$29,IntermediateCalcul!L$24:L$25)+LOG(CorrectionFactors!$B$5))))</f>
        <v/>
      </c>
    </row>
    <row r="20" spans="1:11" s="57" customFormat="1" ht="16" x14ac:dyDescent="0.25">
      <c r="A20" s="59" t="s">
        <v>71</v>
      </c>
      <c r="B20" s="56" t="s">
        <v>19</v>
      </c>
      <c r="C20" s="61">
        <f>IF(C10="","",IF(OR(ISBLANK(TechData!D28),$C$6&lt;$C$5),"-",((TechData!D28*CorrectionFactors!$B$5)*SQRT(TechData!D27)/(SelectionData!$C$4-TechData!D29)*(SelectionData!$C$5-SelectionData!$C$6)+(SelectionData!$C$6+273.15))-273.15))</f>
        <v>25.737259674815505</v>
      </c>
      <c r="D20" s="61">
        <f>IF(D10="","",IF(OR(ISBLANK(TechData!E28),$C$6&lt;$C$5),"-",(TechData!E28*SQRT(TechData!E27)/(SelectionData!$C$4-TechData!E29)*(SelectionData!$C$5-SelectionData!$C$6)+(SelectionData!$C$6+273.15))-273.15))</f>
        <v>25.562962901367143</v>
      </c>
      <c r="E20" s="61">
        <f>IF(E10="","",IF(OR(ISBLANK(TechData!F28),$C$6&lt;$C$5),"-",(TechData!F28*SQRT(TechData!F27)/(SelectionData!$C$4-TechData!F29)*(SelectionData!$C$5-SelectionData!$C$6)+(SelectionData!$C$6+273.15))-273.15))</f>
        <v>25.363534539586055</v>
      </c>
      <c r="F20" s="61">
        <f>IF(F10="","",IF(OR(ISBLANK(TechData!G28),$C$6&lt;$C$5),"-",(TechData!G28*SQRT(TechData!G27)/(SelectionData!$C$4-TechData!G29)*(SelectionData!$C$5-SelectionData!$C$6)+(SelectionData!$C$6+273.15))-273.15))</f>
        <v>25.141637201642482</v>
      </c>
      <c r="G20" s="70" t="str">
        <f>IF(G10="","",IF(OR(ISBLANK(TechData!H28),$C$6&lt;$C$5),"-",(TechData!H28*SQRT(TechData!H27)/(SelectionData!$C$4-TechData!H29)*(SelectionData!$C$5-SelectionData!$C$6)+(SelectionData!$C$6+273.15))-273.15))</f>
        <v/>
      </c>
      <c r="H20" s="61" t="str">
        <f>IF(H10="","",IF(OR(ISBLANK(TechData!I28),$C$6&lt;$C$5),"-",(TechData!I28*SQRT(TechData!I27)/(SelectionData!$C$4-TechData!I29)*(SelectionData!$C$5-SelectionData!$C$6)+(SelectionData!$C$6+273.15))-273.15))</f>
        <v/>
      </c>
      <c r="I20" s="61" t="str">
        <f>IF(I10="","",IF(OR(ISBLANK(TechData!J28),$C$6&lt;$C$5),"-",(TechData!J28*SQRT(TechData!J27)/(SelectionData!$C$4-TechData!J29)*(SelectionData!$C$5-SelectionData!$C$6)+(SelectionData!$C$6+273.15))-273.15))</f>
        <v/>
      </c>
      <c r="J20" s="61" t="str">
        <f>IF(J10="","",IF(OR(ISBLANK(TechData!K28),$C$6&lt;$C$5),"-",(TechData!K28*SQRT(TechData!K27)/(SelectionData!$C$4-TechData!K29)*(SelectionData!$C$5-SelectionData!$C$6)+(SelectionData!$C$6+273.15))-273.15))</f>
        <v/>
      </c>
      <c r="K20" s="61" t="str">
        <f>IF(K10="","",IF(OR(ISBLANK(TechData!L28),$C$6&lt;$C$5),"-",(TechData!L28*SQRT(TechData!L27)/(SelectionData!$C$4-TechData!L29)*(SelectionData!$C$5-SelectionData!$C$6)+(SelectionData!$C$6+273.15))-273.15))</f>
        <v/>
      </c>
    </row>
    <row r="21" spans="1:11" s="57" customFormat="1" ht="16" x14ac:dyDescent="0.25">
      <c r="A21" s="59" t="s">
        <v>57</v>
      </c>
      <c r="B21" s="56" t="str">
        <f>B7</f>
        <v>[NR]</v>
      </c>
      <c r="C21" s="60" t="str">
        <f>IF($C$8="NR",IF(C10="","",IF(ISBLANK(TechData!D31),"-",IF(TechData!D31*LN((SelectionData!$C$2/$C$3*1000))+TechData!D32+CorrectionFactors!$B$2&lt;15,"&lt;15",IF(TechData!D31*LN((SelectionData!$C$2/$C$3*1000))+TechData!D32+CorrectionFactors!$B$2&gt;50,"&gt;50",TechData!D31*LN((SelectionData!$C$2/$C$3*1000))+TechData!D32+CorrectionFactors!$B$2)))),IF(C10="","",IF(ISBLANK(TechData!D34),"-",IF(TechData!D34*LN((SelectionData!$C$2/$C$3*1000))+TechData!D35+CorrectionFactors!$B$2&lt;20,"&lt;20",IF(TechData!D34*LN((SelectionData!$C$2/$C$3*1000))+TechData!D35+CorrectionFactors!$B$2&gt;55,"&gt;55",TechData!D34*LN((SelectionData!$C$2/$C$3*1000))+TechData!D35+CorrectionFactors!$B$2)))))</f>
        <v>&gt;50</v>
      </c>
      <c r="D21" s="60">
        <f>IF($C$8="NR",IF(D10="","",IF(ISBLANK(TechData!E31),"-",IF(TechData!E31*LN((SelectionData!$C$2/$C$3*1000))+TechData!E32+CorrectionFactors!$B$2&lt;15,"&lt;15",IF(TechData!E31*LN((SelectionData!$C$2/$C$3*1000))+TechData!E32+CorrectionFactors!$B$2&gt;50,"&gt;50",TechData!E31*LN((SelectionData!$C$2/$C$3*1000))+TechData!E32+CorrectionFactors!$B$2)))),IF(D10="","",IF(ISBLANK(TechData!E34),"-",IF(TechData!E34*LN((SelectionData!$C$2/$C$3*1000))+TechData!E35+CorrectionFactors!$B$2&lt;20,"&lt;20",IF(TechData!E34*LN((SelectionData!$C$2/$C$3*1000))+TechData!E35+CorrectionFactors!$B$2&gt;55,"&gt;55",TechData!E34*LN((SelectionData!$C$2/$C$3*1000))+TechData!E35+CorrectionFactors!$B$2)))))</f>
        <v>30.11052476629968</v>
      </c>
      <c r="E21" s="60">
        <f>IF($C$8="NR",IF(E10="","",IF(ISBLANK(TechData!F31),"-",IF(TechData!F31*LN((SelectionData!$C$2/$C$3*1000))+TechData!F32+CorrectionFactors!$B$2&lt;15,"&lt;15",IF(TechData!F31*LN((SelectionData!$C$2/$C$3*1000))+TechData!F32+CorrectionFactors!$B$2&gt;50,"&gt;50",TechData!F31*LN((SelectionData!$C$2/$C$3*1000))+TechData!F32+CorrectionFactors!$B$2)))),IF(E10="","",IF(ISBLANK(TechData!F34),"-",IF(TechData!F34*LN((SelectionData!$C$2/$C$3*1000))+TechData!F35+CorrectionFactors!$B$2&lt;20,"&lt;20",IF(TechData!F34*LN((SelectionData!$C$2/$C$3*1000))+TechData!F35+CorrectionFactors!$B$2&gt;55,"&gt;55",TechData!F34*LN((SelectionData!$C$2/$C$3*1000))+TechData!F35+CorrectionFactors!$B$2)))))</f>
        <v>24.103585150303847</v>
      </c>
      <c r="F21" s="60">
        <f>IF($C$8="NR",IF(F10="","",IF(ISBLANK(TechData!G31),"-",IF(TechData!G31*LN((SelectionData!$C$2/$C$3*1000))+TechData!G32+CorrectionFactors!$B$2&lt;15,"&lt;15",IF(TechData!G31*LN((SelectionData!$C$2/$C$3*1000))+TechData!G32+CorrectionFactors!$B$2&gt;50,"&gt;50",TechData!G31*LN((SelectionData!$C$2/$C$3*1000))+TechData!G32+CorrectionFactors!$B$2)))),IF(F10="","",IF(ISBLANK(TechData!G34),"-",IF(TechData!G34*LN((SelectionData!$C$2/$C$3*1000))+TechData!G35+CorrectionFactors!$B$2&lt;20,"&lt;20",IF(TechData!G34*LN((SelectionData!$C$2/$C$3*1000))+TechData!G35+CorrectionFactors!$B$2&gt;55,"&gt;55",TechData!G34*LN((SelectionData!$C$2/$C$3*1000))+TechData!G35+CorrectionFactors!$B$2)))))</f>
        <v>18.145454874010486</v>
      </c>
      <c r="G21" s="71" t="str">
        <f>IF($C$8="NR",IF(G10="","",IF(ISBLANK(TechData!H31),"-",IF(TechData!H31*LN((SelectionData!$C$2/$C$3*1000))+TechData!H32+CorrectionFactors!$B$2&lt;15,"&lt;15",IF(TechData!H31*LN((SelectionData!$C$2/$C$3*1000))+TechData!H32+CorrectionFactors!$B$2&gt;50,"&gt;50",TechData!H31*LN((SelectionData!$C$2/$C$3*1000))+TechData!H32+CorrectionFactors!$B$2)))),IF(G10="","",IF(ISBLANK(TechData!H34),"-",IF(TechData!H34*LN((SelectionData!$C$2/$C$3*1000))+TechData!H35+CorrectionFactors!$B$2&lt;20,"&lt;20",IF(TechData!H34*LN((SelectionData!$C$2/$C$3*1000))+TechData!H35+CorrectionFactors!$B$2&gt;55,"&gt;55",TechData!H34*LN((SelectionData!$C$2/$C$3*1000))+TechData!H35+CorrectionFactors!$B$2)))))</f>
        <v/>
      </c>
      <c r="H21" s="60" t="str">
        <f>IF($C$8="NR",IF(H10="","",IF(ISBLANK(TechData!I31),"-",IF(TechData!I31*LN((SelectionData!$C$2/$C$3*1000))+TechData!I32+CorrectionFactors!$B$2&lt;15,"&lt;15",IF(TechData!I31*LN((SelectionData!$C$2/$C$3*1000))+TechData!I32+CorrectionFactors!$B$2&gt;50,"&gt;50",TechData!I31*LN((SelectionData!$C$2/$C$3*1000))+TechData!I32+CorrectionFactors!$B$2)))),IF(H10="","",IF(ISBLANK(TechData!I34),"-",IF(TechData!I34*LN((SelectionData!$C$2/$C$3*1000))+TechData!I35+CorrectionFactors!$B$2&lt;20,"&lt;20",IF(TechData!I34*LN((SelectionData!$C$2/$C$3*1000))+TechData!I35+CorrectionFactors!$B$2&gt;55,"&gt;55",TechData!I34*LN((SelectionData!$C$2/$C$3*1000))+TechData!I35+CorrectionFactors!$B$2)))))</f>
        <v/>
      </c>
      <c r="I21" s="60" t="str">
        <f>IF($C$8="NR",IF(I10="","",IF(ISBLANK(TechData!J31),"-",IF(TechData!J31*LN((SelectionData!$C$2/$C$3*1000))+TechData!J32+CorrectionFactors!$B$2&lt;15,"&lt;15",IF(TechData!J31*LN((SelectionData!$C$2/$C$3*1000))+TechData!J32+CorrectionFactors!$B$2&gt;50,"&gt;50",TechData!J31*LN((SelectionData!$C$2/$C$3*1000))+TechData!J32+CorrectionFactors!$B$2)))),IF(I10="","",IF(ISBLANK(TechData!J34),"-",IF(TechData!J34*LN((SelectionData!$C$2/$C$3*1000))+TechData!J35+CorrectionFactors!$B$2&lt;20,"&lt;20",IF(TechData!J34*LN((SelectionData!$C$2/$C$3*1000))+TechData!J35+CorrectionFactors!$B$2&gt;55,"&gt;55",TechData!J34*LN((SelectionData!$C$2/$C$3*1000))+TechData!J35+CorrectionFactors!$B$2)))))</f>
        <v/>
      </c>
      <c r="J21" s="60" t="str">
        <f>IF($C$8="NR",IF(J10="","",IF(ISBLANK(TechData!K31),"-",IF(TechData!K31*LN((SelectionData!$C$2/$C$3*1000))+TechData!K32+CorrectionFactors!$B$2&lt;15,"&lt;15",IF(TechData!K31*LN((SelectionData!$C$2/$C$3*1000))+TechData!K32+CorrectionFactors!$B$2&gt;50,"&gt;50",TechData!K31*LN((SelectionData!$C$2/$C$3*1000))+TechData!K32+CorrectionFactors!$B$2)))),IF(J10="","",IF(ISBLANK(TechData!K34),"-",IF(TechData!K34*LN((SelectionData!$C$2/$C$3*1000))+TechData!K35+CorrectionFactors!$B$2&lt;20,"&lt;20",IF(TechData!K34*LN((SelectionData!$C$2/$C$3*1000))+TechData!K35+CorrectionFactors!$B$2&gt;55,"&gt;55",TechData!K34*LN((SelectionData!$C$2/$C$3*1000))+TechData!K35+CorrectionFactors!$B$2)))))</f>
        <v/>
      </c>
      <c r="K21" s="60" t="str">
        <f>IF($C$8="NR",IF(K10="","",IF(ISBLANK(TechData!L31),"-",IF(TechData!L31*LN((SelectionData!$C$2/$C$3*1000))+TechData!L32+CorrectionFactors!$B$2&lt;15,"&lt;15",IF(TechData!L31*LN((SelectionData!$C$2/$C$3*1000))+TechData!L32+CorrectionFactors!$B$2&gt;50,"&gt;50",TechData!L31*LN((SelectionData!$C$2/$C$3*1000))+TechData!L32+CorrectionFactors!$B$2)))),IF(K10="","",IF(ISBLANK(TechData!L34),"-",IF(TechData!L34*LN((SelectionData!$C$2/$C$3*1000))+TechData!L35+CorrectionFactors!$B$2&lt;20,"&lt;20",IF(TechData!L34*LN((SelectionData!$C$2/$C$3*1000))+TechData!L35+CorrectionFactors!$B$2&gt;55,"&gt;55",TechData!L34*LN((SelectionData!$C$2/$C$3*1000))+TechData!L35+CorrectionFactors!$B$2)))))</f>
        <v/>
      </c>
    </row>
    <row r="22" spans="1:11" s="57" customFormat="1" ht="16" x14ac:dyDescent="0.25">
      <c r="A22" s="59" t="s">
        <v>70</v>
      </c>
      <c r="B22" s="56" t="str">
        <f>B7</f>
        <v>[NR]</v>
      </c>
      <c r="C22" s="60">
        <f>IF($C$8="NR",IF(C10="","",IF(ISBLANK(TechData!D31),"-",IF(TechData!D31*LN((SelectionData!$C$2/$C$3*1000))+TechData!D32+CorrectionFactors!$B$2-$C$7&lt;15,"&lt;15",IF(TechData!D31*LN((SelectionData!$C$2/$C$3*1000))+TechData!D32+CorrectionFactors!$B$2-$C$7&gt;50,"&gt;50",TechData!D31*LN((SelectionData!$C$2/$C$3*1000))+TechData!D32+CorrectionFactors!$B$2-$C$7)))),IF(C10="","",IF(ISBLANK(TechData!D34),"-",IF(TechData!D34*LN((SelectionData!$C$2/$C$3*1000))+TechData!D35+CorrectionFactors!$B$2-$C$7&lt;20,"&lt;20",IF(TechData!D34*LN((SelectionData!$C$2/$C$3*1000))+TechData!D35+CorrectionFactors!$B$2-$C$7&gt;55,"&gt;55",TechData!D34*LN((SelectionData!$C$2/$C$3*1000))+TechData!D35+CorrectionFactors!$B$2-$C$7)))))</f>
        <v>47.17268875150571</v>
      </c>
      <c r="D22" s="60">
        <f>IF($C$8="NR",IF(D10="","",IF(ISBLANK(TechData!E31),"-",IF(TechData!E31*LN((SelectionData!$C$2/$C$3*1000))+TechData!E32+CorrectionFactors!$B$2-$C$7&lt;15,"&lt;15",IF(TechData!E31*LN((SelectionData!$C$2/$C$3*1000))+TechData!E32+CorrectionFactors!$B$2-$C$7&gt;50,"&gt;50",TechData!E31*LN((SelectionData!$C$2/$C$3*1000))+TechData!E32+CorrectionFactors!$B$2-$C$7)))),IF(D10="","",IF(ISBLANK(TechData!E34),"-",IF(TechData!E34*LN((SelectionData!$C$2/$C$3*1000))+TechData!E35+CorrectionFactors!$B$2-$C$7&lt;20,"&lt;20",IF(TechData!E34*LN((SelectionData!$C$2/$C$3*1000))+TechData!E35+CorrectionFactors!$B$2-$C$7&gt;55,"&gt;55",TechData!E34*LN((SelectionData!$C$2/$C$3*1000))+TechData!E35+CorrectionFactors!$B$2-$C$7)))))</f>
        <v>22.11052476629968</v>
      </c>
      <c r="E22" s="60">
        <f>IF($C$8="NR",IF(E10="","",IF(ISBLANK(TechData!F31),"-",IF(TechData!F31*LN((SelectionData!$C$2/$C$3*1000))+TechData!F32+CorrectionFactors!$B$2-$C$7&lt;15,"&lt;15",IF(TechData!F31*LN((SelectionData!$C$2/$C$3*1000))+TechData!F32+CorrectionFactors!$B$2-$C$7&gt;50,"&gt;50",TechData!F31*LN((SelectionData!$C$2/$C$3*1000))+TechData!F32+CorrectionFactors!$B$2-$C$7)))),IF(E10="","",IF(ISBLANK(TechData!F34),"-",IF(TechData!F34*LN((SelectionData!$C$2/$C$3*1000))+TechData!F35+CorrectionFactors!$B$2-$C$7&lt;20,"&lt;20",IF(TechData!F34*LN((SelectionData!$C$2/$C$3*1000))+TechData!F35+CorrectionFactors!$B$2-$C$7&gt;55,"&gt;55",TechData!F34*LN((SelectionData!$C$2/$C$3*1000))+TechData!F35+CorrectionFactors!$B$2-$C$7)))))</f>
        <v>16.103585150303847</v>
      </c>
      <c r="F22" s="60" t="str">
        <f>IF($C$8="NR",IF(F10="","",IF(ISBLANK(TechData!G31),"-",IF(TechData!G31*LN((SelectionData!$C$2/$C$3*1000))+TechData!G32+CorrectionFactors!$B$2-$C$7&lt;15,"&lt;15",IF(TechData!G31*LN((SelectionData!$C$2/$C$3*1000))+TechData!G32+CorrectionFactors!$B$2-$C$7&gt;50,"&gt;50",TechData!G31*LN((SelectionData!$C$2/$C$3*1000))+TechData!G32+CorrectionFactors!$B$2-$C$7)))),IF(F10="","",IF(ISBLANK(TechData!G34),"-",IF(TechData!G34*LN((SelectionData!$C$2/$C$3*1000))+TechData!G35+CorrectionFactors!$B$2-$C$7&lt;20,"&lt;20",IF(TechData!G34*LN((SelectionData!$C$2/$C$3*1000))+TechData!G35+CorrectionFactors!$B$2-$C$7&gt;55,"&gt;55",TechData!G34*LN((SelectionData!$C$2/$C$3*1000))+TechData!G35+CorrectionFactors!$B$2-$C$7)))))</f>
        <v>&lt;15</v>
      </c>
      <c r="G22" s="71" t="str">
        <f>IF($C$8="NR",IF(G10="","",IF(ISBLANK(TechData!H31),"-",IF(TechData!H31*LN((SelectionData!$C$2/$C$3*1000))+TechData!H32+CorrectionFactors!$B$2-$C$7&lt;15,"&lt;15",IF(TechData!H31*LN((SelectionData!$C$2/$C$3*1000))+TechData!H32+CorrectionFactors!$B$2-$C$7&gt;50,"&gt;50",TechData!H31*LN((SelectionData!$C$2/$C$3*1000))+TechData!H32+CorrectionFactors!$B$2-$C$7)))),IF(G10="","",IF(ISBLANK(TechData!H34),"-",IF(TechData!H34*LN((SelectionData!$C$2/$C$3*1000))+TechData!H35+CorrectionFactors!$B$2-$C$7&lt;20,"&lt;20",IF(TechData!H34*LN((SelectionData!$C$2/$C$3*1000))+TechData!H35+CorrectionFactors!$B$2-$C$7&gt;55,"&gt;55",TechData!H34*LN((SelectionData!$C$2/$C$3*1000))+TechData!H35+CorrectionFactors!$B$2-$C$7)))))</f>
        <v/>
      </c>
      <c r="H22" s="60" t="str">
        <f>IF($C$8="NR",IF(H10="","",IF(ISBLANK(TechData!I31),"-",IF(TechData!I31*LN((SelectionData!$C$2/$C$3*1000))+TechData!I32+CorrectionFactors!$B$2-$C$7&lt;15,"&lt;15",IF(TechData!I31*LN((SelectionData!$C$2/$C$3*1000))+TechData!I32+CorrectionFactors!$B$2-$C$7&gt;50,"&gt;50",TechData!I31*LN((SelectionData!$C$2/$C$3*1000))+TechData!I32+CorrectionFactors!$B$2-$C$7)))),IF(H10="","",IF(ISBLANK(TechData!I34),"-",IF(TechData!I34*LN((SelectionData!$C$2/$C$3*1000))+TechData!I35+CorrectionFactors!$B$2-$C$7&lt;20,"&lt;20",IF(TechData!I34*LN((SelectionData!$C$2/$C$3*1000))+TechData!I35+CorrectionFactors!$B$2-$C$7&gt;55,"&gt;55",TechData!I34*LN((SelectionData!$C$2/$C$3*1000))+TechData!I35+CorrectionFactors!$B$2-$C$7)))))</f>
        <v/>
      </c>
      <c r="I22" s="60" t="str">
        <f>IF($C$8="NR",IF(I10="","",IF(ISBLANK(TechData!J31),"-",IF(TechData!J31*LN((SelectionData!$C$2/$C$3*1000))+TechData!J32+CorrectionFactors!$B$2-$C$7&lt;15,"&lt;15",IF(TechData!J31*LN((SelectionData!$C$2/$C$3*1000))+TechData!J32+CorrectionFactors!$B$2-$C$7&gt;50,"&gt;50",TechData!J31*LN((SelectionData!$C$2/$C$3*1000))+TechData!J32+CorrectionFactors!$B$2-$C$7)))),IF(I10="","",IF(ISBLANK(TechData!J34),"-",IF(TechData!J34*LN((SelectionData!$C$2/$C$3*1000))+TechData!J35+CorrectionFactors!$B$2-$C$7&lt;20,"&lt;20",IF(TechData!J34*LN((SelectionData!$C$2/$C$3*1000))+TechData!J35+CorrectionFactors!$B$2-$C$7&gt;55,"&gt;55",TechData!J34*LN((SelectionData!$C$2/$C$3*1000))+TechData!J35+CorrectionFactors!$B$2-$C$7)))))</f>
        <v/>
      </c>
      <c r="J22" s="60" t="str">
        <f>IF($C$8="NR",IF(J10="","",IF(ISBLANK(TechData!K31),"-",IF(TechData!K31*LN((SelectionData!$C$2/$C$3*1000))+TechData!K32+CorrectionFactors!$B$2-$C$7&lt;15,"&lt;15",IF(TechData!K31*LN((SelectionData!$C$2/$C$3*1000))+TechData!K32+CorrectionFactors!$B$2-$C$7&gt;50,"&gt;50",TechData!K31*LN((SelectionData!$C$2/$C$3*1000))+TechData!K32+CorrectionFactors!$B$2-$C$7)))),IF(J10="","",IF(ISBLANK(TechData!K34),"-",IF(TechData!K34*LN((SelectionData!$C$2/$C$3*1000))+TechData!K35+CorrectionFactors!$B$2-$C$7&lt;20,"&lt;20",IF(TechData!K34*LN((SelectionData!$C$2/$C$3*1000))+TechData!K35+CorrectionFactors!$B$2-$C$7&gt;55,"&gt;55",TechData!K34*LN((SelectionData!$C$2/$C$3*1000))+TechData!K35+CorrectionFactors!$B$2-$C$7)))))</f>
        <v/>
      </c>
      <c r="K22" s="60" t="str">
        <f>IF($C$8="NR",IF(K10="","",IF(ISBLANK(TechData!L31),"-",IF(TechData!L31*LN((SelectionData!$C$2/$C$3*1000))+TechData!L32+CorrectionFactors!$B$2-$C$7&lt;15,"&lt;15",IF(TechData!L31*LN((SelectionData!$C$2/$C$3*1000))+TechData!L32+CorrectionFactors!$B$2-$C$7&gt;50,"&gt;50",TechData!L31*LN((SelectionData!$C$2/$C$3*1000))+TechData!L32+CorrectionFactors!$B$2-$C$7)))),IF(K10="","",IF(ISBLANK(TechData!L34),"-",IF(TechData!L34*LN((SelectionData!$C$2/$C$3*1000))+TechData!L35+CorrectionFactors!$B$2-$C$7&lt;20,"&lt;20",IF(TechData!L34*LN((SelectionData!$C$2/$C$3*1000))+TechData!L35+CorrectionFactors!$B$2-$C$7&gt;55,"&gt;55",TechData!L34*LN((SelectionData!$C$2/$C$3*1000))+TechData!L35+CorrectionFactors!$B$2-$C$7)))))</f>
        <v/>
      </c>
    </row>
    <row r="23" spans="1:11" s="57" customFormat="1" ht="9.75" customHeight="1" x14ac:dyDescent="0.2">
      <c r="B23" s="41"/>
      <c r="G23" s="68"/>
    </row>
    <row r="24" spans="1:11" s="57" customFormat="1" ht="14" x14ac:dyDescent="0.2">
      <c r="A24" s="62" t="s">
        <v>15</v>
      </c>
      <c r="B24" s="41"/>
      <c r="G24" s="68"/>
    </row>
    <row r="25" spans="1:11" s="57" customFormat="1" ht="16" x14ac:dyDescent="0.25">
      <c r="B25" s="41"/>
      <c r="C25" s="79" t="s">
        <v>58</v>
      </c>
      <c r="D25" s="80"/>
      <c r="E25" s="80"/>
      <c r="F25" s="80"/>
      <c r="G25" s="73"/>
      <c r="H25" s="81" t="s">
        <v>58</v>
      </c>
      <c r="I25" s="81"/>
      <c r="J25" s="81"/>
      <c r="K25" s="81"/>
    </row>
    <row r="26" spans="1:11" s="57" customFormat="1" ht="14" x14ac:dyDescent="0.2">
      <c r="A26" s="55">
        <v>125</v>
      </c>
      <c r="B26" s="56" t="s">
        <v>16</v>
      </c>
      <c r="C26" s="61">
        <f>IF(C10="","",IF(AND(OR(ISNUMBER(C21),ISNUMBER(C22)),SUM(TechData!D37:D50)&lt;&gt;0),IF(TechData!D37*LN((SelectionData!$C$2/$C$3*1000))+TechData!D38+CorrectionFactors!$B$2&lt;=0,"&lt; BGL",TechData!D37*LN((SelectionData!$C$2/$C$3*1000))+TechData!D38+CorrectionFactors!$B$2),"-"))</f>
        <v>58.353320972413236</v>
      </c>
      <c r="D26" s="61">
        <f>IF(D10="","",IF(AND(OR(ISNUMBER(D21),ISNUMBER(D22)),SUM(TechData!E37:E50)&lt;&gt;0),IF(TechData!E37*LN((SelectionData!$C$2/$C$3*1000))+TechData!E38+CorrectionFactors!$B$2&lt;=0,"&lt; BGL",TechData!E37*LN((SelectionData!$C$2/$C$3*1000))+TechData!E38+CorrectionFactors!$B$2),"-"))</f>
        <v>42.783270418784433</v>
      </c>
      <c r="E26" s="61">
        <f>IF(E10="","",IF(AND(OR(ISNUMBER(E21),ISNUMBER(E22)),SUM(TechData!F37:F50)&lt;&gt;0),IF(TechData!F37*LN((SelectionData!$C$2/$C$3*1000))+TechData!F38+CorrectionFactors!$B$2&lt;=0,"&lt; BGL",TechData!F37*LN((SelectionData!$C$2/$C$3*1000))+TechData!F38+CorrectionFactors!$B$2),"-"))</f>
        <v>40.765722740495072</v>
      </c>
      <c r="F26" s="61">
        <f>IF(F10="","",IF(AND(OR(ISNUMBER(F21),ISNUMBER(F22)),SUM(TechData!G37:G50)&lt;&gt;0),IF(TechData!G37*LN((SelectionData!$C$2/$C$3*1000))+TechData!G38+CorrectionFactors!$B$2&lt;=0,"&lt; BGL",TechData!G37*LN((SelectionData!$C$2/$C$3*1000))+TechData!G38+CorrectionFactors!$B$2),"-"))</f>
        <v>33.76197675299094</v>
      </c>
      <c r="G26" s="70" t="str">
        <f>IF(G10="","",IF(AND(OR(ISNUMBER(G21),ISNUMBER(G22)),SUM(TechData!H37:H50)&lt;&gt;0),IF(TechData!H37*LN((SelectionData!$C$2/$C$3*1000))+TechData!H38+CorrectionFactors!$B$2&lt;=0,"&lt; BGL",TechData!H37*LN((SelectionData!$C$2/$C$3*1000))+TechData!H38+CorrectionFactors!$B$2),"-"))</f>
        <v/>
      </c>
      <c r="H26" s="61" t="str">
        <f>IF(H10="","",IF(AND(OR(ISNUMBER(H21),ISNUMBER(H22)),SUM(TechData!I37:I50)&lt;&gt;0),IF(TechData!I37*LN((SelectionData!$C$2/$C$3*1000))+TechData!I38+CorrectionFactors!$B$2&lt;=0,"&lt; BGL",TechData!I37*LN((SelectionData!$C$2/$C$3*1000))+TechData!I38+CorrectionFactors!$B$2),"-"))</f>
        <v/>
      </c>
      <c r="I26" s="61" t="str">
        <f>IF(I10="","",IF(AND(OR(ISNUMBER(I21),ISNUMBER(I22)),SUM(TechData!J37:J50)&lt;&gt;0),IF(TechData!J37*LN((SelectionData!$C$2/$C$3*1000))+TechData!J38+CorrectionFactors!$B$2&lt;=0,"&lt; BGL",TechData!J37*LN((SelectionData!$C$2/$C$3*1000))+TechData!J38+CorrectionFactors!$B$2),"-"))</f>
        <v/>
      </c>
      <c r="J26" s="61" t="str">
        <f>IF(J10="","",IF(AND(OR(ISNUMBER(J21),ISNUMBER(J22)),SUM(TechData!K37:K50)&lt;&gt;0),IF(TechData!K37*LN((SelectionData!$C$2/$C$3*1000))+TechData!K38+CorrectionFactors!$B$2&lt;=0,"&lt; BGL",TechData!K37*LN((SelectionData!$C$2/$C$3*1000))+TechData!K38+CorrectionFactors!$B$2),"-"))</f>
        <v/>
      </c>
      <c r="K26" s="61" t="str">
        <f>IF(K10="","",IF(AND(OR(ISNUMBER(K21),ISNUMBER(K22)),SUM(TechData!L37:L50)&lt;&gt;0),IF(TechData!L37*LN((SelectionData!$C$2/$C$3*1000))+TechData!L38+CorrectionFactors!$B$2&lt;=0,"&lt; BGL",TechData!L37*LN((SelectionData!$C$2/$C$3*1000))+TechData!L38+CorrectionFactors!$B$2),"-"))</f>
        <v/>
      </c>
    </row>
    <row r="27" spans="1:11" s="57" customFormat="1" ht="14" x14ac:dyDescent="0.2">
      <c r="A27" s="55">
        <v>250</v>
      </c>
      <c r="B27" s="56" t="s">
        <v>16</v>
      </c>
      <c r="C27" s="61">
        <f>IF(C10="","",IF(AND(OR(ISNUMBER(C21),ISNUMBER(C22)),SUM(TechData!D37:D50)&lt;&gt;0),IF(TechData!D39*LN((SelectionData!$C$2/$C$3*1000))+TechData!D40+CorrectionFactors!$B$2&lt;=0,"&lt; BGL",TechData!D39*LN((SelectionData!$C$2/$C$3*1000))+TechData!D40+CorrectionFactors!$B$2),"-"))</f>
        <v>58.044257193412172</v>
      </c>
      <c r="D27" s="61">
        <f>IF(D10="","",IF(AND(OR(ISNUMBER(D21),ISNUMBER(D22)),SUM(TechData!E37:E50)&lt;&gt;0),IF(TechData!E39*LN((SelectionData!$C$2/$C$3*1000))+TechData!E40+CorrectionFactors!$B$2&lt;=0,"&lt; BGL",TechData!E39*LN((SelectionData!$C$2/$C$3*1000))+TechData!E40+CorrectionFactors!$B$2),"-"))</f>
        <v>40.00278586368109</v>
      </c>
      <c r="E27" s="61">
        <f>IF(E10="","",IF(AND(OR(ISNUMBER(E21),ISNUMBER(E22)),SUM(TechData!F37:F50)&lt;&gt;0),IF(TechData!F39*LN((SelectionData!$C$2/$C$3*1000))+TechData!F40+CorrectionFactors!$B$2&lt;=0,"&lt; BGL",TechData!F39*LN((SelectionData!$C$2/$C$3*1000))+TechData!F40+CorrectionFactors!$B$2),"-"))</f>
        <v>34.416332020804937</v>
      </c>
      <c r="F27" s="61">
        <f>IF(F10="","",IF(AND(OR(ISNUMBER(F21),ISNUMBER(F22)),SUM(TechData!G37:G50)&lt;&gt;0),IF(TechData!G39*LN((SelectionData!$C$2/$C$3*1000))+TechData!G40+CorrectionFactors!$B$2&lt;=0,"&lt; BGL",TechData!G39*LN((SelectionData!$C$2/$C$3*1000))+TechData!G40+CorrectionFactors!$B$2),"-"))</f>
        <v>28.875270863852169</v>
      </c>
      <c r="G27" s="70" t="str">
        <f>IF(G10="","",IF(AND(OR(ISNUMBER(G21),ISNUMBER(G22)),SUM(TechData!H37:H50)&lt;&gt;0),IF(TechData!H39*LN((SelectionData!$C$2/$C$3*1000))+TechData!H40+CorrectionFactors!$B$2&lt;=0,"&lt; BGL",TechData!H39*LN((SelectionData!$C$2/$C$3*1000))+TechData!H40+CorrectionFactors!$B$2),"-"))</f>
        <v/>
      </c>
      <c r="H27" s="61" t="str">
        <f>IF(H10="","",IF(AND(OR(ISNUMBER(H21),ISNUMBER(H22)),SUM(TechData!I37:I50)&lt;&gt;0),IF(TechData!I39*LN((SelectionData!$C$2/$C$3*1000))+TechData!I40+CorrectionFactors!$B$2&lt;=0,"&lt; BGL",TechData!I39*LN((SelectionData!$C$2/$C$3*1000))+TechData!I40+CorrectionFactors!$B$2),"-"))</f>
        <v/>
      </c>
      <c r="I27" s="61" t="str">
        <f>IF(I10="","",IF(AND(OR(ISNUMBER(I21),ISNUMBER(I22)),SUM(TechData!J37:J50)&lt;&gt;0),IF(TechData!J39*LN((SelectionData!$C$2/$C$3*1000))+TechData!J40+CorrectionFactors!$B$2&lt;=0,"&lt; BGL",TechData!J39*LN((SelectionData!$C$2/$C$3*1000))+TechData!J40+CorrectionFactors!$B$2),"-"))</f>
        <v/>
      </c>
      <c r="J27" s="61" t="str">
        <f>IF(J10="","",IF(AND(OR(ISNUMBER(J21),ISNUMBER(J22)),SUM(TechData!K37:K50)&lt;&gt;0),IF(TechData!K39*LN((SelectionData!$C$2/$C$3*1000))+TechData!K40+CorrectionFactors!$B$2&lt;=0,"&lt; BGL",TechData!K39*LN((SelectionData!$C$2/$C$3*1000))+TechData!K40+CorrectionFactors!$B$2),"-"))</f>
        <v/>
      </c>
      <c r="K27" s="61" t="str">
        <f>IF(K10="","",IF(AND(OR(ISNUMBER(K21),ISNUMBER(K22)),SUM(TechData!L37:L50)&lt;&gt;0),IF(TechData!L39*LN((SelectionData!$C$2/$C$3*1000))+TechData!L40+CorrectionFactors!$B$2&lt;=0,"&lt; BGL",TechData!L39*LN((SelectionData!$C$2/$C$3*1000))+TechData!L40+CorrectionFactors!$B$2),"-"))</f>
        <v/>
      </c>
    </row>
    <row r="28" spans="1:11" s="57" customFormat="1" ht="14" x14ac:dyDescent="0.2">
      <c r="A28" s="55">
        <v>500</v>
      </c>
      <c r="B28" s="56" t="s">
        <v>16</v>
      </c>
      <c r="C28" s="61">
        <f>IF(C10="","",IF(AND(OR(ISNUMBER(C21),ISNUMBER(C22)),SUM(TechData!D37:D50)&lt;&gt;0),IF(TechData!D41*LN((SelectionData!$C$2/$C$3*1000))+TechData!D42+CorrectionFactors!$B$2&lt;=0,"&lt; BGL",TechData!D41*LN((SelectionData!$C$2/$C$3*1000))+TechData!D42+CorrectionFactors!$B$2),"-"))</f>
        <v>58.538198038346316</v>
      </c>
      <c r="D28" s="61">
        <f>IF(D10="","",IF(AND(OR(ISNUMBER(D21),ISNUMBER(D22)),SUM(TechData!E37:E50)&lt;&gt;0),IF(TechData!E41*LN((SelectionData!$C$2/$C$3*1000))+TechData!E42+CorrectionFactors!$B$2&lt;=0,"&lt; BGL",TechData!E41*LN((SelectionData!$C$2/$C$3*1000))+TechData!E42+CorrectionFactors!$B$2),"-"))</f>
        <v>32.659878148753116</v>
      </c>
      <c r="E28" s="61">
        <f>IF(E10="","",IF(AND(OR(ISNUMBER(E21),ISNUMBER(E22)),SUM(TechData!F37:F50)&lt;&gt;0),IF(TechData!F41*LN((SelectionData!$C$2/$C$3*1000))+TechData!F42+CorrectionFactors!$B$2&lt;=0,"&lt; BGL",TechData!F41*LN((SelectionData!$C$2/$C$3*1000))+TechData!F42+CorrectionFactors!$B$2),"-"))</f>
        <v>24.65329399177924</v>
      </c>
      <c r="F28" s="61">
        <f>IF(F10="","",IF(AND(OR(ISNUMBER(F21),ISNUMBER(F22)),SUM(TechData!G37:G50)&lt;&gt;0),IF(TechData!G41*LN((SelectionData!$C$2/$C$3*1000))+TechData!G42+CorrectionFactors!$B$2&lt;=0,"&lt; BGL",TechData!G41*LN((SelectionData!$C$2/$C$3*1000))+TechData!G42+CorrectionFactors!$B$2),"-"))</f>
        <v>17.365048986984196</v>
      </c>
      <c r="G28" s="70" t="str">
        <f>IF(G10="","",IF(AND(OR(ISNUMBER(G21),ISNUMBER(G22)),SUM(TechData!H37:H50)&lt;&gt;0),IF(TechData!H41*LN((SelectionData!$C$2/$C$3*1000))+TechData!H42+CorrectionFactors!$B$2&lt;=0,"&lt; BGL",TechData!H41*LN((SelectionData!$C$2/$C$3*1000))+TechData!H42+CorrectionFactors!$B$2),"-"))</f>
        <v/>
      </c>
      <c r="H28" s="61" t="str">
        <f>IF(H10="","",IF(AND(OR(ISNUMBER(H21),ISNUMBER(H22)),SUM(TechData!I37:I50)&lt;&gt;0),IF(TechData!I41*LN((SelectionData!$C$2/$C$3*1000))+TechData!I42+CorrectionFactors!$B$2&lt;=0,"&lt; BGL",TechData!I41*LN((SelectionData!$C$2/$C$3*1000))+TechData!I42+CorrectionFactors!$B$2),"-"))</f>
        <v/>
      </c>
      <c r="I28" s="61" t="str">
        <f>IF(I10="","",IF(AND(OR(ISNUMBER(I21),ISNUMBER(I22)),SUM(TechData!J37:J50)&lt;&gt;0),IF(TechData!J41*LN((SelectionData!$C$2/$C$3*1000))+TechData!J42+CorrectionFactors!$B$2&lt;=0,"&lt; BGL",TechData!J41*LN((SelectionData!$C$2/$C$3*1000))+TechData!J42+CorrectionFactors!$B$2),"-"))</f>
        <v/>
      </c>
      <c r="J28" s="61" t="str">
        <f>IF(J10="","",IF(AND(OR(ISNUMBER(J21),ISNUMBER(J22)),SUM(TechData!K37:K50)&lt;&gt;0),IF(TechData!K41*LN((SelectionData!$C$2/$C$3*1000))+TechData!K42+CorrectionFactors!$B$2&lt;=0,"&lt; BGL",TechData!K41*LN((SelectionData!$C$2/$C$3*1000))+TechData!K42+CorrectionFactors!$B$2),"-"))</f>
        <v/>
      </c>
      <c r="K28" s="61" t="str">
        <f>IF(K10="","",IF(AND(OR(ISNUMBER(K21),ISNUMBER(K22)),SUM(TechData!L37:L50)&lt;&gt;0),IF(TechData!L41*LN((SelectionData!$C$2/$C$3*1000))+TechData!L42+CorrectionFactors!$B$2&lt;=0,"&lt; BGL",TechData!L41*LN((SelectionData!$C$2/$C$3*1000))+TechData!L42+CorrectionFactors!$B$2),"-"))</f>
        <v/>
      </c>
    </row>
    <row r="29" spans="1:11" s="57" customFormat="1" ht="14" x14ac:dyDescent="0.2">
      <c r="A29" s="55">
        <v>1000</v>
      </c>
      <c r="B29" s="56" t="s">
        <v>16</v>
      </c>
      <c r="C29" s="61">
        <f>IF(C10="","",IF(AND(OR(ISNUMBER(C21),ISNUMBER(C22)),SUM(TechData!D37:D50)&lt;&gt;0),IF(TechData!D43*LN((SelectionData!$C$2/$C$3*1000))+TechData!D44+CorrectionFactors!$B$2&lt;=0,"&lt; BGL",TechData!D43*LN((SelectionData!$C$2/$C$3*1000))+TechData!D44+CorrectionFactors!$B$2),"-"))</f>
        <v>52.917690865957788</v>
      </c>
      <c r="D29" s="61">
        <f>IF(D10="","",IF(AND(OR(ISNUMBER(D21),ISNUMBER(D22)),SUM(TechData!E37:E50)&lt;&gt;0),IF(TechData!E43*LN((SelectionData!$C$2/$C$3*1000))+TechData!E44+CorrectionFactors!$B$2&lt;=0,"&lt; BGL",TechData!E43*LN((SelectionData!$C$2/$C$3*1000))+TechData!E44+CorrectionFactors!$B$2),"-"))</f>
        <v>26.654581867629194</v>
      </c>
      <c r="E29" s="61">
        <f>IF(E10="","",IF(AND(OR(ISNUMBER(E21),ISNUMBER(E22)),SUM(TechData!F37:F50)&lt;&gt;0),IF(TechData!F43*LN((SelectionData!$C$2/$C$3*1000))+TechData!F44+CorrectionFactors!$B$2&lt;=0,"&lt; BGL",TechData!F43*LN((SelectionData!$C$2/$C$3*1000))+TechData!F44+CorrectionFactors!$B$2),"-"))</f>
        <v>17.869000785418965</v>
      </c>
      <c r="F29" s="61">
        <f>IF(F10="","",IF(AND(OR(ISNUMBER(F21),ISNUMBER(F22)),SUM(TechData!G37:G50)&lt;&gt;0),IF(TechData!G43*LN((SelectionData!$C$2/$C$3*1000))+TechData!G44+CorrectionFactors!$B$2&lt;=0,"&lt; BGL",TechData!G43*LN((SelectionData!$C$2/$C$3*1000))+TechData!G44+CorrectionFactors!$B$2),"-"))</f>
        <v>8.8784186937595884</v>
      </c>
      <c r="G29" s="70" t="str">
        <f>IF(G10="","",IF(AND(OR(ISNUMBER(G21),ISNUMBER(G22)),SUM(TechData!H37:H50)&lt;&gt;0),IF(TechData!H43*LN((SelectionData!$C$2/$C$3*1000))+TechData!H44+CorrectionFactors!$B$2&lt;=0,"&lt; BGL",TechData!H43*LN((SelectionData!$C$2/$C$3*1000))+TechData!H44+CorrectionFactors!$B$2),"-"))</f>
        <v/>
      </c>
      <c r="H29" s="61" t="str">
        <f>IF(H10="","",IF(AND(OR(ISNUMBER(H21),ISNUMBER(H22)),SUM(TechData!I37:I50)&lt;&gt;0),IF(TechData!I43*LN((SelectionData!$C$2/$C$3*1000))+TechData!I44+CorrectionFactors!$B$2&lt;=0,"&lt; BGL",TechData!I43*LN((SelectionData!$C$2/$C$3*1000))+TechData!I44+CorrectionFactors!$B$2),"-"))</f>
        <v/>
      </c>
      <c r="I29" s="61" t="str">
        <f>IF(I10="","",IF(AND(OR(ISNUMBER(I21),ISNUMBER(I22)),SUM(TechData!J37:J50)&lt;&gt;0),IF(TechData!J43*LN((SelectionData!$C$2/$C$3*1000))+TechData!J44+CorrectionFactors!$B$2&lt;=0,"&lt; BGL",TechData!J43*LN((SelectionData!$C$2/$C$3*1000))+TechData!J44+CorrectionFactors!$B$2),"-"))</f>
        <v/>
      </c>
      <c r="J29" s="61" t="str">
        <f>IF(J10="","",IF(AND(OR(ISNUMBER(J21),ISNUMBER(J22)),SUM(TechData!K37:K50)&lt;&gt;0),IF(TechData!K43*LN((SelectionData!$C$2/$C$3*1000))+TechData!K44+CorrectionFactors!$B$2&lt;=0,"&lt; BGL",TechData!K43*LN((SelectionData!$C$2/$C$3*1000))+TechData!K44+CorrectionFactors!$B$2),"-"))</f>
        <v/>
      </c>
      <c r="K29" s="61" t="str">
        <f>IF(K10="","",IF(AND(OR(ISNUMBER(K21),ISNUMBER(K22)),SUM(TechData!L37:L50)&lt;&gt;0),IF(TechData!L43*LN((SelectionData!$C$2/$C$3*1000))+TechData!L44+CorrectionFactors!$B$2&lt;=0,"&lt; BGL",TechData!L43*LN((SelectionData!$C$2/$C$3*1000))+TechData!L44+CorrectionFactors!$B$2),"-"))</f>
        <v/>
      </c>
    </row>
    <row r="30" spans="1:11" s="57" customFormat="1" ht="14" x14ac:dyDescent="0.2">
      <c r="A30" s="55">
        <v>2000</v>
      </c>
      <c r="B30" s="56" t="s">
        <v>16</v>
      </c>
      <c r="C30" s="61">
        <f>IF(C10="","",IF(AND(OR(ISNUMBER(C21),ISNUMBER(C22)),SUM(TechData!D37:D50)&lt;&gt;0),IF(TechData!D45*LN((SelectionData!$C$2/$C$3*1000))+TechData!D46+CorrectionFactors!$B$2&lt;=0,"&lt; BGL",TechData!D45*LN((SelectionData!$C$2/$C$3*1000))+TechData!D46+CorrectionFactors!$B$2),"-"))</f>
        <v>47.282357354534959</v>
      </c>
      <c r="D30" s="61">
        <f>IF(D10="","",IF(AND(OR(ISNUMBER(D21),ISNUMBER(D22)),SUM(TechData!E37:E50)&lt;&gt;0),IF(TechData!E45*LN((SelectionData!$C$2/$C$3*1000))+TechData!E46+CorrectionFactors!$B$2&lt;=0,"&lt; BGL",TechData!E45*LN((SelectionData!$C$2/$C$3*1000))+TechData!E46+CorrectionFactors!$B$2),"-"))</f>
        <v>15.257343239571671</v>
      </c>
      <c r="E30" s="61">
        <f>IF(E10="","",IF(AND(OR(ISNUMBER(E21),ISNUMBER(E22)),SUM(TechData!F37:F50)&lt;&gt;0),IF(TechData!F45*LN((SelectionData!$C$2/$C$3*1000))+TechData!F46+CorrectionFactors!$B$2&lt;=0,"&lt; BGL",TechData!F45*LN((SelectionData!$C$2/$C$3*1000))+TechData!F46+CorrectionFactors!$B$2),"-"))</f>
        <v>5.1685124218235829</v>
      </c>
      <c r="F30" s="61" t="str">
        <f>IF(F10="","",IF(AND(OR(ISNUMBER(F21),ISNUMBER(F22)),SUM(TechData!G37:G50)&lt;&gt;0),IF(TechData!G45*LN((SelectionData!$C$2/$C$3*1000))+TechData!G46+CorrectionFactors!$B$2&lt;=0,"&lt; BGL",TechData!G45*LN((SelectionData!$C$2/$C$3*1000))+TechData!G46+CorrectionFactors!$B$2),"-"))</f>
        <v>&lt; BGL</v>
      </c>
      <c r="G30" s="70" t="str">
        <f>IF(G10="","",IF(AND(OR(ISNUMBER(G21),ISNUMBER(G22)),SUM(TechData!H37:H50)&lt;&gt;0),IF(TechData!H45*LN((SelectionData!$C$2/$C$3*1000))+TechData!H46+CorrectionFactors!$B$2&lt;=0,"&lt; BGL",TechData!H45*LN((SelectionData!$C$2/$C$3*1000))+TechData!H46+CorrectionFactors!$B$2),"-"))</f>
        <v/>
      </c>
      <c r="H30" s="61" t="str">
        <f>IF(H10="","",IF(AND(OR(ISNUMBER(H21),ISNUMBER(H22)),SUM(TechData!I37:I50)&lt;&gt;0),IF(TechData!I45*LN((SelectionData!$C$2/$C$3*1000))+TechData!I46+CorrectionFactors!$B$2&lt;=0,"&lt; BGL",TechData!I45*LN((SelectionData!$C$2/$C$3*1000))+TechData!I46+CorrectionFactors!$B$2),"-"))</f>
        <v/>
      </c>
      <c r="I30" s="61" t="str">
        <f>IF(I10="","",IF(AND(OR(ISNUMBER(I21),ISNUMBER(I22)),SUM(TechData!J37:J50)&lt;&gt;0),IF(TechData!J45*LN((SelectionData!$C$2/$C$3*1000))+TechData!J46+CorrectionFactors!$B$2&lt;=0,"&lt; BGL",TechData!J45*LN((SelectionData!$C$2/$C$3*1000))+TechData!J46+CorrectionFactors!$B$2),"-"))</f>
        <v/>
      </c>
      <c r="J30" s="61" t="str">
        <f>IF(J10="","",IF(AND(OR(ISNUMBER(J21),ISNUMBER(J22)),SUM(TechData!K37:K50)&lt;&gt;0),IF(TechData!K45*LN((SelectionData!$C$2/$C$3*1000))+TechData!K46+CorrectionFactors!$B$2&lt;=0,"&lt; BGL",TechData!K45*LN((SelectionData!$C$2/$C$3*1000))+TechData!K46+CorrectionFactors!$B$2),"-"))</f>
        <v/>
      </c>
      <c r="K30" s="61" t="str">
        <f>IF(K10="","",IF(AND(OR(ISNUMBER(K21),ISNUMBER(K22)),SUM(TechData!L37:L50)&lt;&gt;0),IF(TechData!L45*LN((SelectionData!$C$2/$C$3*1000))+TechData!L46+CorrectionFactors!$B$2&lt;=0,"&lt; BGL",TechData!L45*LN((SelectionData!$C$2/$C$3*1000))+TechData!L46+CorrectionFactors!$B$2),"-"))</f>
        <v/>
      </c>
    </row>
    <row r="31" spans="1:11" s="57" customFormat="1" ht="14" x14ac:dyDescent="0.2">
      <c r="A31" s="55">
        <v>4000</v>
      </c>
      <c r="B31" s="56" t="s">
        <v>16</v>
      </c>
      <c r="C31" s="61">
        <f>IF(C10="","",IF(AND(OR(ISNUMBER(C21),ISNUMBER(C22)),SUM(TechData!D37:D50)&lt;&gt;0),IF(TechData!D47*LN((SelectionData!$C$2/$C$3*1000))+TechData!D48+CorrectionFactors!$B$2&lt;=0,"&lt; BGL",TechData!D47*LN((SelectionData!$C$2/$C$3*1000))+TechData!D48+CorrectionFactors!$B$2),"-"))</f>
        <v>39.25319394865398</v>
      </c>
      <c r="D31" s="61">
        <f>IF(D10="","",IF(AND(OR(ISNUMBER(D21),ISNUMBER(D22)),SUM(TechData!E37:E50)&lt;&gt;0),IF(TechData!E47*LN((SelectionData!$C$2/$C$3*1000))+TechData!E48+CorrectionFactors!$B$2&lt;=0,"&lt; BGL",TechData!E47*LN((SelectionData!$C$2/$C$3*1000))+TechData!E48+CorrectionFactors!$B$2),"-"))</f>
        <v>5.7891233412370342</v>
      </c>
      <c r="E31" s="61" t="str">
        <f>IF(E10="","",IF(AND(OR(ISNUMBER(E21),ISNUMBER(E22)),SUM(TechData!F37:F50)&lt;&gt;0),IF(TechData!F47*LN((SelectionData!$C$2/$C$3*1000))+TechData!F48+CorrectionFactors!$B$2&lt;=0,"&lt; BGL",TechData!F47*LN((SelectionData!$C$2/$C$3*1000))+TechData!F48+CorrectionFactors!$B$2),"-"))</f>
        <v>&lt; BGL</v>
      </c>
      <c r="F31" s="61" t="str">
        <f>IF(F10="","",IF(AND(OR(ISNUMBER(F21),ISNUMBER(F22)),SUM(TechData!G37:G50)&lt;&gt;0),IF(TechData!G47*LN((SelectionData!$C$2/$C$3*1000))+TechData!G48+CorrectionFactors!$B$2&lt;=0,"&lt; BGL",TechData!G47*LN((SelectionData!$C$2/$C$3*1000))+TechData!G48+CorrectionFactors!$B$2),"-"))</f>
        <v>&lt; BGL</v>
      </c>
      <c r="G31" s="70" t="str">
        <f>IF(G10="","",IF(AND(OR(ISNUMBER(G21),ISNUMBER(G22)),SUM(TechData!H37:H50)&lt;&gt;0),IF(TechData!H47*LN((SelectionData!$C$2/$C$3*1000))+TechData!H48+CorrectionFactors!$B$2&lt;=0,"&lt; BGL",TechData!H47*LN((SelectionData!$C$2/$C$3*1000))+TechData!H48+CorrectionFactors!$B$2),"-"))</f>
        <v/>
      </c>
      <c r="H31" s="61" t="str">
        <f>IF(H10="","",IF(AND(OR(ISNUMBER(H21),ISNUMBER(H22)),SUM(TechData!I37:I50)&lt;&gt;0),IF(TechData!I47*LN((SelectionData!$C$2/$C$3*1000))+TechData!I48+CorrectionFactors!$B$2&lt;=0,"&lt; BGL",TechData!I47*LN((SelectionData!$C$2/$C$3*1000))+TechData!I48+CorrectionFactors!$B$2),"-"))</f>
        <v/>
      </c>
      <c r="I31" s="61" t="str">
        <f>IF(I10="","",IF(AND(OR(ISNUMBER(I21),ISNUMBER(I22)),SUM(TechData!J37:J50)&lt;&gt;0),IF(TechData!J47*LN((SelectionData!$C$2/$C$3*1000))+TechData!J48+CorrectionFactors!$B$2&lt;=0,"&lt; BGL",TechData!J47*LN((SelectionData!$C$2/$C$3*1000))+TechData!J48+CorrectionFactors!$B$2),"-"))</f>
        <v/>
      </c>
      <c r="J31" s="61" t="str">
        <f>IF(J10="","",IF(AND(OR(ISNUMBER(J21),ISNUMBER(J22)),SUM(TechData!K37:K50)&lt;&gt;0),IF(TechData!K47*LN((SelectionData!$C$2/$C$3*1000))+TechData!K48+CorrectionFactors!$B$2&lt;=0,"&lt; BGL",TechData!K47*LN((SelectionData!$C$2/$C$3*1000))+TechData!K48+CorrectionFactors!$B$2),"-"))</f>
        <v/>
      </c>
      <c r="K31" s="61" t="str">
        <f>IF(K10="","",IF(AND(OR(ISNUMBER(K21),ISNUMBER(K22)),SUM(TechData!L37:L50)&lt;&gt;0),IF(TechData!L47*LN((SelectionData!$C$2/$C$3*1000))+TechData!L48+CorrectionFactors!$B$2&lt;=0,"&lt; BGL",TechData!L47*LN((SelectionData!$C$2/$C$3*1000))+TechData!L48+CorrectionFactors!$B$2),"-"))</f>
        <v/>
      </c>
    </row>
    <row r="32" spans="1:11" s="57" customFormat="1" ht="14" x14ac:dyDescent="0.2">
      <c r="A32" s="55">
        <v>8000</v>
      </c>
      <c r="B32" s="56" t="s">
        <v>16</v>
      </c>
      <c r="C32" s="61" t="str">
        <f>IF(C10="","",IF(AND(OR(ISNUMBER(C21),ISNUMBER(C22)),SUM(TechData!D37:D50)&lt;&gt;0),IF(TechData!D49*LN((SelectionData!$C$2/$C$3*1000))+TechData!D50+CorrectionFactors!$B$2&lt;=0,"&lt; BGL",TechData!D49*LN((SelectionData!$C$2/$C$3*1000))+TechData!D50+CorrectionFactors!$B$2),"-"))</f>
        <v>&lt; BGL</v>
      </c>
      <c r="D32" s="61" t="str">
        <f>IF(D10="","",IF(AND(OR(ISNUMBER(D21),ISNUMBER(D22)),SUM(TechData!E37:E50)&lt;&gt;0),IF(TechData!E49*LN((SelectionData!$C$2/$C$3*1000))+TechData!E50+CorrectionFactors!$B$2&lt;=0,"&lt; BGL",TechData!E49*LN((SelectionData!$C$2/$C$3*1000))+TechData!E50+CorrectionFactors!$B$2),"-"))</f>
        <v>&lt; BGL</v>
      </c>
      <c r="E32" s="61" t="str">
        <f>IF(E10="","",IF(AND(OR(ISNUMBER(E21),ISNUMBER(E22)),SUM(TechData!F37:F50)&lt;&gt;0),IF(TechData!F49*LN((SelectionData!$C$2/$C$3*1000))+TechData!F50+CorrectionFactors!$B$2&lt;=0,"&lt; BGL",TechData!F49*LN((SelectionData!$C$2/$C$3*1000))+TechData!F50+CorrectionFactors!$B$2),"-"))</f>
        <v>&lt; BGL</v>
      </c>
      <c r="F32" s="61" t="str">
        <f>IF(F10="","",IF(AND(OR(ISNUMBER(F21),ISNUMBER(F22)),SUM(TechData!G37:G50)&lt;&gt;0),IF(TechData!G49*LN((SelectionData!$C$2/$C$3*1000))+TechData!G50+CorrectionFactors!$B$2&lt;=0,"&lt; BGL",TechData!G49*LN((SelectionData!$C$2/$C$3*1000))+TechData!G50+CorrectionFactors!$B$2),"-"))</f>
        <v>&lt; BGL</v>
      </c>
      <c r="G32" s="70" t="str">
        <f>IF(G10="","",IF(AND(OR(ISNUMBER(G21),ISNUMBER(G22)),SUM(TechData!H37:H50)&lt;&gt;0),IF(TechData!H49*LN((SelectionData!$C$2/$C$3*1000))+TechData!H50+CorrectionFactors!$B$2&lt;=0,"&lt; BGL",TechData!H49*LN((SelectionData!$C$2/$C$3*1000))+TechData!H50+CorrectionFactors!$B$2),"-"))</f>
        <v/>
      </c>
      <c r="H32" s="61" t="str">
        <f>IF(H10="","",IF(AND(OR(ISNUMBER(H21),ISNUMBER(H22)),SUM(TechData!I37:I50)&lt;&gt;0),IF(TechData!I49*LN((SelectionData!$C$2/$C$3*1000))+TechData!I50+CorrectionFactors!$B$2&lt;=0,"&lt; BGL",TechData!I49*LN((SelectionData!$C$2/$C$3*1000))+TechData!I50+CorrectionFactors!$B$2),"-"))</f>
        <v/>
      </c>
      <c r="I32" s="61" t="str">
        <f>IF(I10="","",IF(AND(OR(ISNUMBER(I21),ISNUMBER(I22)),SUM(TechData!J37:J50)&lt;&gt;0),IF(TechData!J49*LN((SelectionData!$C$2/$C$3*1000))+TechData!J50+CorrectionFactors!$B$2&lt;=0,"&lt; BGL",TechData!J49*LN((SelectionData!$C$2/$C$3*1000))+TechData!J50+CorrectionFactors!$B$2),"-"))</f>
        <v/>
      </c>
      <c r="J32" s="61" t="str">
        <f>IF(J10="","",IF(AND(OR(ISNUMBER(J21),ISNUMBER(J22)),SUM(TechData!K37:K50)&lt;&gt;0),IF(TechData!K49*LN((SelectionData!$C$2/$C$3*1000))+TechData!K50+CorrectionFactors!$B$2&lt;=0,"&lt; BGL",TechData!K49*LN((SelectionData!$C$2/$C$3*1000))+TechData!K50+CorrectionFactors!$B$2),"-"))</f>
        <v/>
      </c>
      <c r="K32" s="61" t="str">
        <f>IF(K10="","",IF(AND(OR(ISNUMBER(K21),ISNUMBER(K22)),SUM(TechData!L37:L50)&lt;&gt;0),IF(TechData!L49*LN((SelectionData!$C$2/$C$3*1000))+TechData!L50+CorrectionFactors!$B$2&lt;=0,"&lt; BGL",TechData!L49*LN((SelectionData!$C$2/$C$3*1000))+TechData!L50+CorrectionFactors!$B$2),"-"))</f>
        <v/>
      </c>
    </row>
    <row r="33" spans="1:1" x14ac:dyDescent="0.2">
      <c r="A33" s="7" t="s">
        <v>17</v>
      </c>
    </row>
  </sheetData>
  <sheetProtection algorithmName="SHA-512" hashValue="YIKQzupntpSEbK4F6jFoSbmns1yEZCP5NQMq5Ipf72dU9m18gKSsFhRRB0TzNVoAXS39WpNMTY2JD8LKUAypDQ==" saltValue="jproDolFCevwYS7zy3nbvw==" spinCount="100000" sheet="1" objects="1" scenarios="1"/>
  <mergeCells count="2">
    <mergeCell ref="C25:F25"/>
    <mergeCell ref="H25:K25"/>
  </mergeCells>
  <dataValidations count="1">
    <dataValidation type="list" allowBlank="1" showInputMessage="1" showErrorMessage="1" sqref="C8" xr:uid="{00000000-0002-0000-0000-000000000000}">
      <formula1>units</formula1>
    </dataValidation>
  </dataValidations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9" sqref="F19"/>
    </sheetView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sheetProtection algorithmName="SHA-512" hashValue="7PDXgNoZ0b7Wz7EX8C9dCbWK6V3Ganqq++1dYRRjJInb4qL9WfNXs8TUbMrszEXwAhcBzbQ739Rnh+qf0O4qpg==" saltValue="GkBkP/KFRrGOiUTKJCq0K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2"/>
  <sheetViews>
    <sheetView zoomScaleNormal="100" workbookViewId="0">
      <selection activeCell="I5" activeCellId="1" sqref="E5:G5 I5:L5"/>
    </sheetView>
  </sheetViews>
  <sheetFormatPr baseColWidth="10" defaultColWidth="8.83203125" defaultRowHeight="15" x14ac:dyDescent="0.2"/>
  <cols>
    <col min="1" max="1" width="33.5" bestFit="1" customWidth="1"/>
    <col min="2" max="2" width="5.1640625" customWidth="1"/>
    <col min="3" max="3" width="12.83203125" style="1" bestFit="1" customWidth="1"/>
    <col min="4" max="7" width="19.33203125" style="41" bestFit="1" customWidth="1"/>
    <col min="8" max="8" width="8.5" style="41" bestFit="1" customWidth="1"/>
    <col min="9" max="12" width="21" style="41" bestFit="1" customWidth="1"/>
  </cols>
  <sheetData>
    <row r="1" spans="1:13" x14ac:dyDescent="0.2">
      <c r="D1" s="82" t="s">
        <v>74</v>
      </c>
      <c r="E1" s="82"/>
      <c r="F1" s="82"/>
      <c r="G1" s="82"/>
      <c r="I1" s="82" t="s">
        <v>73</v>
      </c>
      <c r="J1" s="82"/>
      <c r="K1" s="82"/>
      <c r="L1" s="82"/>
    </row>
    <row r="2" spans="1:13" ht="45.75" customHeight="1" x14ac:dyDescent="0.2">
      <c r="A2" s="13"/>
      <c r="B2" s="14"/>
      <c r="C2" s="15" t="s">
        <v>23</v>
      </c>
      <c r="D2" s="75" t="s">
        <v>75</v>
      </c>
      <c r="E2" s="75" t="s">
        <v>84</v>
      </c>
      <c r="F2" s="75" t="s">
        <v>76</v>
      </c>
      <c r="G2" s="75" t="s">
        <v>78</v>
      </c>
      <c r="H2" s="28"/>
      <c r="I2" s="75" t="s">
        <v>75</v>
      </c>
      <c r="J2" s="75" t="s">
        <v>77</v>
      </c>
      <c r="K2" s="75" t="s">
        <v>76</v>
      </c>
      <c r="L2" s="77" t="s">
        <v>78</v>
      </c>
    </row>
    <row r="3" spans="1:13" x14ac:dyDescent="0.2">
      <c r="A3" s="8"/>
      <c r="B3" s="12"/>
      <c r="C3" s="16" t="s">
        <v>24</v>
      </c>
      <c r="D3" s="29">
        <v>1000</v>
      </c>
      <c r="E3" s="29">
        <v>1000</v>
      </c>
      <c r="F3" s="29">
        <v>1000</v>
      </c>
      <c r="G3" s="29">
        <v>1000</v>
      </c>
      <c r="H3" s="29"/>
      <c r="I3" s="29">
        <v>1000</v>
      </c>
      <c r="J3" s="29">
        <v>1000</v>
      </c>
      <c r="K3" s="29">
        <v>1000</v>
      </c>
      <c r="L3" s="29">
        <v>1000</v>
      </c>
      <c r="M3" s="17"/>
    </row>
    <row r="4" spans="1:13" x14ac:dyDescent="0.2">
      <c r="A4" s="8"/>
      <c r="B4" s="12"/>
      <c r="C4" s="16" t="s">
        <v>25</v>
      </c>
      <c r="D4" s="28" t="s">
        <v>64</v>
      </c>
      <c r="E4" s="28" t="s">
        <v>64</v>
      </c>
      <c r="F4" s="28" t="s">
        <v>64</v>
      </c>
      <c r="G4" s="28" t="s">
        <v>64</v>
      </c>
      <c r="H4" s="28"/>
      <c r="I4" s="28" t="s">
        <v>72</v>
      </c>
      <c r="J4" s="28" t="s">
        <v>72</v>
      </c>
      <c r="K4" s="28" t="s">
        <v>72</v>
      </c>
      <c r="L4" s="29" t="s">
        <v>72</v>
      </c>
    </row>
    <row r="5" spans="1:13" x14ac:dyDescent="0.2">
      <c r="A5" s="8"/>
      <c r="B5" s="12"/>
      <c r="C5" s="16" t="s">
        <v>26</v>
      </c>
      <c r="D5" s="29" t="s">
        <v>88</v>
      </c>
      <c r="E5" s="29" t="s">
        <v>88</v>
      </c>
      <c r="F5" s="29" t="s">
        <v>88</v>
      </c>
      <c r="G5" s="29" t="s">
        <v>88</v>
      </c>
      <c r="H5" s="29"/>
      <c r="I5" s="29" t="s">
        <v>88</v>
      </c>
      <c r="J5" s="29" t="s">
        <v>88</v>
      </c>
      <c r="K5" s="29" t="s">
        <v>88</v>
      </c>
      <c r="L5" s="29" t="s">
        <v>88</v>
      </c>
    </row>
    <row r="6" spans="1:13" x14ac:dyDescent="0.2">
      <c r="A6" s="18"/>
      <c r="B6" s="19"/>
      <c r="C6" s="20" t="s">
        <v>27</v>
      </c>
      <c r="D6" s="29" t="s">
        <v>79</v>
      </c>
      <c r="E6" s="29" t="s">
        <v>80</v>
      </c>
      <c r="F6" s="29" t="s">
        <v>81</v>
      </c>
      <c r="G6" s="29" t="s">
        <v>82</v>
      </c>
      <c r="H6" s="29"/>
      <c r="I6" s="29" t="s">
        <v>79</v>
      </c>
      <c r="J6" s="29" t="s">
        <v>80</v>
      </c>
      <c r="K6" s="29" t="s">
        <v>81</v>
      </c>
      <c r="L6" s="29" t="s">
        <v>82</v>
      </c>
    </row>
    <row r="7" spans="1:13" ht="15" customHeight="1" x14ac:dyDescent="0.2">
      <c r="A7" s="3" t="s">
        <v>0</v>
      </c>
      <c r="B7" s="9"/>
      <c r="C7" s="4"/>
      <c r="D7" s="30"/>
      <c r="E7" s="30"/>
      <c r="F7" s="30"/>
      <c r="G7" s="30"/>
      <c r="H7" s="30"/>
      <c r="I7" s="30"/>
      <c r="J7" s="30"/>
      <c r="K7" s="30"/>
      <c r="L7" s="30"/>
    </row>
    <row r="8" spans="1:13" ht="15" customHeight="1" x14ac:dyDescent="0.25">
      <c r="A8" s="8"/>
      <c r="B8" s="11"/>
      <c r="C8" s="2" t="s">
        <v>5</v>
      </c>
      <c r="D8" s="31">
        <v>1.5232678773241852E-2</v>
      </c>
      <c r="E8" s="31">
        <v>2.4545185701381807E-2</v>
      </c>
      <c r="F8" s="31">
        <v>3.3857692629521763E-2</v>
      </c>
      <c r="G8" s="31">
        <v>4.3170199557661715E-2</v>
      </c>
      <c r="H8" s="31"/>
      <c r="I8" s="31">
        <v>9.7992700422884754E-3</v>
      </c>
      <c r="J8" s="31">
        <v>1.928801180449162E-2</v>
      </c>
      <c r="K8" s="31">
        <v>2.8893770177001142E-2</v>
      </c>
      <c r="L8" s="31">
        <v>3.8543461552314091E-2</v>
      </c>
    </row>
    <row r="9" spans="1:13" ht="15" customHeight="1" x14ac:dyDescent="0.25">
      <c r="A9" s="8"/>
      <c r="B9" s="11"/>
      <c r="C9" s="2" t="s">
        <v>4</v>
      </c>
      <c r="D9" s="32">
        <v>2.9898497247436242</v>
      </c>
      <c r="E9" s="32">
        <v>3.1928162435152738</v>
      </c>
      <c r="F9" s="32">
        <v>3.3957827622869239</v>
      </c>
      <c r="G9" s="32">
        <v>3.5987492810585735</v>
      </c>
      <c r="H9" s="32"/>
      <c r="I9" s="32">
        <v>4.5105155140832149</v>
      </c>
      <c r="J9" s="32">
        <v>3.354619639718035</v>
      </c>
      <c r="K9" s="32">
        <v>2.1577323008811975</v>
      </c>
      <c r="L9" s="32">
        <v>0.92532782253141821</v>
      </c>
    </row>
    <row r="10" spans="1:13" ht="15" customHeight="1" x14ac:dyDescent="0.25">
      <c r="A10" s="18"/>
      <c r="B10" s="21"/>
      <c r="C10" s="2" t="s">
        <v>6</v>
      </c>
      <c r="D10" s="32">
        <v>-0.76791882244495779</v>
      </c>
      <c r="E10" s="32">
        <v>-0.68900758638032988</v>
      </c>
      <c r="F10" s="32">
        <v>-0.61009635031570197</v>
      </c>
      <c r="G10" s="78">
        <v>-0.53118511425107418</v>
      </c>
      <c r="H10" s="32"/>
      <c r="I10" s="32">
        <v>-2.0316288388469887</v>
      </c>
      <c r="J10" s="32">
        <v>-1.5087473753207847</v>
      </c>
      <c r="K10" s="32">
        <v>-0.97578266082926468</v>
      </c>
      <c r="L10" s="32">
        <v>-0.42750217070462682</v>
      </c>
    </row>
    <row r="11" spans="1:13" ht="15" customHeight="1" x14ac:dyDescent="0.2">
      <c r="A11" s="3" t="s">
        <v>3</v>
      </c>
      <c r="B11" s="9"/>
      <c r="C11" s="4"/>
      <c r="D11" s="33"/>
      <c r="E11" s="34"/>
      <c r="F11" s="33"/>
      <c r="G11" s="34"/>
      <c r="H11" s="33"/>
      <c r="I11" s="33"/>
      <c r="J11" s="34"/>
      <c r="K11" s="33"/>
      <c r="L11" s="34"/>
    </row>
    <row r="12" spans="1:13" ht="15" customHeight="1" x14ac:dyDescent="0.2">
      <c r="A12" s="8"/>
      <c r="B12" s="11"/>
      <c r="C12" s="2" t="s">
        <v>2</v>
      </c>
      <c r="D12" s="32">
        <v>39.823853777006782</v>
      </c>
      <c r="E12" s="32">
        <v>88.177747807184517</v>
      </c>
      <c r="F12" s="32">
        <v>118.31742939417286</v>
      </c>
      <c r="G12" s="32">
        <v>159.1897233042865</v>
      </c>
      <c r="H12" s="32"/>
      <c r="I12" s="32">
        <v>32.740175243346336</v>
      </c>
      <c r="J12" s="32">
        <v>63.852222405389668</v>
      </c>
      <c r="K12" s="32">
        <v>100.28055814659521</v>
      </c>
      <c r="L12" s="32">
        <v>124.0320374945188</v>
      </c>
    </row>
    <row r="13" spans="1:13" ht="15" customHeight="1" x14ac:dyDescent="0.2">
      <c r="A13" s="8"/>
      <c r="B13" s="11"/>
      <c r="C13" s="2" t="s">
        <v>1</v>
      </c>
      <c r="D13" s="32">
        <v>0.49895570468941186</v>
      </c>
      <c r="E13" s="32">
        <v>0.50060796064748325</v>
      </c>
      <c r="F13" s="32">
        <v>0.50609694462537336</v>
      </c>
      <c r="G13" s="32">
        <v>0.49626998374594206</v>
      </c>
      <c r="H13" s="32"/>
      <c r="I13" s="32">
        <v>0.48845572960018541</v>
      </c>
      <c r="J13" s="32">
        <v>0.51742879387628005</v>
      </c>
      <c r="K13" s="32">
        <v>0.48673909680896155</v>
      </c>
      <c r="L13" s="32">
        <v>0.50964520251389855</v>
      </c>
    </row>
    <row r="14" spans="1:13" ht="15" customHeight="1" x14ac:dyDescent="0.25">
      <c r="A14" s="22"/>
      <c r="B14" s="23"/>
      <c r="C14" s="2" t="s">
        <v>7</v>
      </c>
      <c r="D14" s="31">
        <v>1.2271846303085129E-2</v>
      </c>
      <c r="E14" s="31">
        <v>2.0106192982974676E-2</v>
      </c>
      <c r="F14" s="31">
        <v>3.1415926535897934E-2</v>
      </c>
      <c r="G14" s="31">
        <v>3.1415926535897934E-2</v>
      </c>
      <c r="H14" s="31"/>
      <c r="I14" s="31">
        <v>1.2271846303085129E-2</v>
      </c>
      <c r="J14" s="31">
        <v>2.0106192982974676E-2</v>
      </c>
      <c r="K14" s="31">
        <v>3.1415926535897934E-2</v>
      </c>
      <c r="L14" s="31">
        <v>3.1415926535897934E-2</v>
      </c>
    </row>
    <row r="15" spans="1:13" ht="15" customHeight="1" x14ac:dyDescent="0.2">
      <c r="A15" s="3" t="s">
        <v>28</v>
      </c>
      <c r="B15" s="9"/>
      <c r="C15" s="4"/>
      <c r="D15" s="5"/>
      <c r="E15" s="5"/>
      <c r="F15" s="5"/>
      <c r="G15" s="5"/>
      <c r="H15" s="10"/>
      <c r="I15" s="5"/>
      <c r="J15" s="5"/>
      <c r="K15" s="5"/>
      <c r="L15" s="5"/>
    </row>
    <row r="16" spans="1:13" ht="15" customHeight="1" x14ac:dyDescent="0.2">
      <c r="A16" s="24"/>
      <c r="B16" s="25" t="s">
        <v>29</v>
      </c>
      <c r="C16" s="2" t="s">
        <v>2</v>
      </c>
      <c r="D16" s="37">
        <v>1.3870254153720607</v>
      </c>
      <c r="E16" s="32">
        <v>1.3870254153720607</v>
      </c>
      <c r="F16" s="32">
        <v>1.3870254153720607</v>
      </c>
      <c r="G16" s="32">
        <v>1.3870254153720607</v>
      </c>
      <c r="H16" s="38"/>
      <c r="I16" s="37"/>
      <c r="J16" s="32"/>
      <c r="K16" s="32"/>
      <c r="L16" s="32"/>
    </row>
    <row r="17" spans="1:12" ht="15" customHeight="1" x14ac:dyDescent="0.2">
      <c r="A17" s="8"/>
      <c r="B17" s="11"/>
      <c r="C17" s="2" t="s">
        <v>1</v>
      </c>
      <c r="D17" s="37">
        <v>-2.1599298123382686</v>
      </c>
      <c r="E17" s="32">
        <v>-2.487382982822318</v>
      </c>
      <c r="F17" s="32">
        <v>-2.6789308082977388</v>
      </c>
      <c r="G17" s="32">
        <v>-2.8148361533063677</v>
      </c>
      <c r="H17" s="38"/>
      <c r="I17" s="37"/>
      <c r="J17" s="32"/>
      <c r="K17" s="32"/>
      <c r="L17" s="32"/>
    </row>
    <row r="18" spans="1:12" ht="15" customHeight="1" x14ac:dyDescent="0.2">
      <c r="A18" s="24"/>
      <c r="B18" s="25" t="s">
        <v>30</v>
      </c>
      <c r="C18" s="2" t="s">
        <v>2</v>
      </c>
      <c r="D18" s="37">
        <v>1.3870254153720607</v>
      </c>
      <c r="E18" s="32">
        <v>1.3870254153720607</v>
      </c>
      <c r="F18" s="32">
        <v>1.3870254153720607</v>
      </c>
      <c r="G18" s="32">
        <v>1.3870254153720607</v>
      </c>
      <c r="H18" s="38"/>
      <c r="I18" s="37"/>
      <c r="J18" s="32"/>
      <c r="K18" s="32"/>
      <c r="L18" s="32"/>
    </row>
    <row r="19" spans="1:12" ht="15" customHeight="1" x14ac:dyDescent="0.2">
      <c r="A19" s="8"/>
      <c r="B19" s="12"/>
      <c r="C19" s="2" t="s">
        <v>1</v>
      </c>
      <c r="D19" s="37">
        <v>-2.2671833905331673</v>
      </c>
      <c r="E19" s="32">
        <v>-2.5946365610172171</v>
      </c>
      <c r="F19" s="32">
        <v>-2.7861843864926379</v>
      </c>
      <c r="G19" s="32">
        <v>-2.9220897315012668</v>
      </c>
      <c r="H19" s="38"/>
      <c r="I19" s="37"/>
      <c r="J19" s="32"/>
      <c r="K19" s="32"/>
      <c r="L19" s="32"/>
    </row>
    <row r="20" spans="1:12" ht="15" customHeight="1" x14ac:dyDescent="0.2">
      <c r="A20" s="24"/>
      <c r="B20" s="25" t="s">
        <v>31</v>
      </c>
      <c r="C20" s="2" t="s">
        <v>2</v>
      </c>
      <c r="D20" s="37">
        <v>1.3870254153720607</v>
      </c>
      <c r="E20" s="32">
        <v>1.3870254153720607</v>
      </c>
      <c r="F20" s="32">
        <v>1.3870254153720607</v>
      </c>
      <c r="G20" s="32">
        <v>1.3870254153720607</v>
      </c>
      <c r="H20" s="38"/>
      <c r="I20" s="37"/>
      <c r="J20" s="32"/>
      <c r="K20" s="32"/>
      <c r="L20" s="32"/>
    </row>
    <row r="21" spans="1:12" ht="15" customHeight="1" x14ac:dyDescent="0.2">
      <c r="A21" s="8"/>
      <c r="B21" s="12"/>
      <c r="C21" s="2" t="s">
        <v>1</v>
      </c>
      <c r="D21" s="37">
        <v>-2.3432810153002945</v>
      </c>
      <c r="E21" s="32">
        <v>-2.6707341857843439</v>
      </c>
      <c r="F21" s="32">
        <v>-2.8622820112597651</v>
      </c>
      <c r="G21" s="32">
        <v>-2.9981873562683936</v>
      </c>
      <c r="H21" s="38"/>
      <c r="I21" s="37"/>
      <c r="J21" s="32"/>
      <c r="K21" s="32"/>
      <c r="L21" s="32"/>
    </row>
    <row r="22" spans="1:12" ht="15" customHeight="1" x14ac:dyDescent="0.2">
      <c r="A22" s="24"/>
      <c r="B22" s="25" t="s">
        <v>32</v>
      </c>
      <c r="C22" s="2" t="s">
        <v>2</v>
      </c>
      <c r="D22" s="37">
        <v>1.3870254153720607</v>
      </c>
      <c r="E22" s="32">
        <v>1.3870254153720607</v>
      </c>
      <c r="F22" s="32">
        <v>1.3870254153720607</v>
      </c>
      <c r="G22" s="32">
        <v>1.3870254153720607</v>
      </c>
      <c r="H22" s="38"/>
      <c r="I22" s="37"/>
      <c r="J22" s="32"/>
      <c r="K22" s="32"/>
      <c r="L22" s="32"/>
    </row>
    <row r="23" spans="1:12" ht="15" customHeight="1" x14ac:dyDescent="0.2">
      <c r="A23" s="8"/>
      <c r="B23" s="12"/>
      <c r="C23" s="2" t="s">
        <v>1</v>
      </c>
      <c r="D23" s="37">
        <v>-2.4023069187651656</v>
      </c>
      <c r="E23" s="32">
        <v>-2.7297600892492153</v>
      </c>
      <c r="F23" s="32">
        <v>-2.9213079147246361</v>
      </c>
      <c r="G23" s="32">
        <v>-3.0572132597332651</v>
      </c>
      <c r="H23" s="38"/>
      <c r="I23" s="37"/>
      <c r="J23" s="32"/>
      <c r="K23" s="32"/>
      <c r="L23" s="32"/>
    </row>
    <row r="24" spans="1:12" ht="15" customHeight="1" x14ac:dyDescent="0.2">
      <c r="A24" s="24"/>
      <c r="B24" s="25" t="s">
        <v>33</v>
      </c>
      <c r="C24" s="2" t="s">
        <v>2</v>
      </c>
      <c r="D24" s="37">
        <v>1.3870254153720607</v>
      </c>
      <c r="E24" s="32">
        <v>1.3870254153720607</v>
      </c>
      <c r="F24" s="32">
        <v>1.3870254153720607</v>
      </c>
      <c r="G24" s="32">
        <v>1.3870254153720607</v>
      </c>
      <c r="H24" s="38"/>
      <c r="I24" s="37"/>
      <c r="J24" s="32"/>
      <c r="K24" s="32"/>
      <c r="L24" s="32"/>
    </row>
    <row r="25" spans="1:12" ht="15" customHeight="1" x14ac:dyDescent="0.2">
      <c r="A25" s="8"/>
      <c r="B25" s="12"/>
      <c r="C25" s="2" t="s">
        <v>1</v>
      </c>
      <c r="D25" s="37">
        <v>-2.4505345934951936</v>
      </c>
      <c r="E25" s="32">
        <v>-2.777987763979243</v>
      </c>
      <c r="F25" s="32">
        <v>-2.9695355894546638</v>
      </c>
      <c r="G25" s="32">
        <v>-3.1054409344632927</v>
      </c>
      <c r="H25" s="38"/>
      <c r="I25" s="37"/>
      <c r="J25" s="32"/>
      <c r="K25" s="32"/>
      <c r="L25" s="32"/>
    </row>
    <row r="26" spans="1:12" ht="15" customHeight="1" x14ac:dyDescent="0.2">
      <c r="A26" s="3" t="s">
        <v>21</v>
      </c>
      <c r="B26" s="9"/>
      <c r="C26" s="4"/>
      <c r="D26" s="35"/>
      <c r="E26" s="36"/>
      <c r="F26" s="36"/>
      <c r="G26" s="36"/>
      <c r="H26" s="36"/>
      <c r="I26" s="35"/>
      <c r="J26" s="36"/>
      <c r="K26" s="36"/>
      <c r="L26" s="36"/>
    </row>
    <row r="27" spans="1:12" ht="15" customHeight="1" x14ac:dyDescent="0.25">
      <c r="A27" s="8"/>
      <c r="B27" s="11"/>
      <c r="C27" s="2" t="s">
        <v>5</v>
      </c>
      <c r="D27" s="37">
        <v>1.4030328201400388E-2</v>
      </c>
      <c r="E27" s="32">
        <v>2.1810257745457841E-2</v>
      </c>
      <c r="F27" s="32">
        <v>2.9590187289515291E-2</v>
      </c>
      <c r="G27" s="31">
        <v>3.737011683357274E-2</v>
      </c>
      <c r="H27" s="38"/>
      <c r="I27" s="37"/>
      <c r="J27" s="32"/>
      <c r="K27" s="32"/>
      <c r="L27" s="31"/>
    </row>
    <row r="28" spans="1:12" ht="15" customHeight="1" x14ac:dyDescent="0.25">
      <c r="A28" s="8"/>
      <c r="B28" s="11"/>
      <c r="C28" s="2" t="s">
        <v>22</v>
      </c>
      <c r="D28" s="37">
        <v>1.1367570840313208</v>
      </c>
      <c r="E28" s="32">
        <v>1.5170143898156501</v>
      </c>
      <c r="F28" s="32">
        <v>1.8972716955999793</v>
      </c>
      <c r="G28" s="39">
        <v>2.2775290013843086</v>
      </c>
      <c r="H28" s="38"/>
      <c r="I28" s="37"/>
      <c r="J28" s="32"/>
      <c r="K28" s="32"/>
      <c r="L28" s="39"/>
    </row>
    <row r="29" spans="1:12" ht="15" customHeight="1" x14ac:dyDescent="0.25">
      <c r="A29" s="8"/>
      <c r="B29" s="12"/>
      <c r="C29" s="2" t="s">
        <v>6</v>
      </c>
      <c r="D29" s="37">
        <v>-9.9821943493574705E-2</v>
      </c>
      <c r="E29" s="32">
        <v>-0.10101900552788415</v>
      </c>
      <c r="F29" s="32">
        <v>-0.10221606756219359</v>
      </c>
      <c r="G29" s="39">
        <v>-0.10341312959650303</v>
      </c>
      <c r="H29" s="38"/>
      <c r="I29" s="37"/>
      <c r="J29" s="32"/>
      <c r="K29" s="32"/>
      <c r="L29" s="39"/>
    </row>
    <row r="30" spans="1:12" ht="15" customHeight="1" x14ac:dyDescent="0.2">
      <c r="A30" s="3" t="s">
        <v>9</v>
      </c>
      <c r="B30" s="9"/>
      <c r="C30" s="4"/>
      <c r="D30" s="33"/>
      <c r="E30" s="34"/>
      <c r="F30" s="33"/>
      <c r="G30" s="34"/>
      <c r="H30" s="33"/>
      <c r="I30" s="33"/>
      <c r="J30" s="34"/>
      <c r="K30" s="33"/>
      <c r="L30" s="34"/>
    </row>
    <row r="31" spans="1:12" ht="15" customHeight="1" x14ac:dyDescent="0.2">
      <c r="A31" s="8"/>
      <c r="B31" s="11"/>
      <c r="C31" s="2" t="s">
        <v>2</v>
      </c>
      <c r="D31" s="32">
        <v>31.534905878229544</v>
      </c>
      <c r="E31" s="32">
        <v>30.293693260333235</v>
      </c>
      <c r="F31" s="32">
        <v>31.703278786823038</v>
      </c>
      <c r="G31" s="32">
        <v>32.670890194581894</v>
      </c>
      <c r="H31" s="32"/>
      <c r="I31" s="32"/>
      <c r="J31" s="32"/>
      <c r="K31" s="32"/>
      <c r="L31" s="32"/>
    </row>
    <row r="32" spans="1:12" ht="15" customHeight="1" x14ac:dyDescent="0.2">
      <c r="A32" s="18"/>
      <c r="B32" s="21"/>
      <c r="C32" s="2" t="s">
        <v>1</v>
      </c>
      <c r="D32" s="32">
        <v>-124.69552375127829</v>
      </c>
      <c r="E32" s="32">
        <v>-142.6780809592052</v>
      </c>
      <c r="F32" s="32">
        <v>-156.72498979772263</v>
      </c>
      <c r="G32" s="32">
        <v>-168.20216506386836</v>
      </c>
      <c r="H32" s="32"/>
      <c r="I32" s="32"/>
      <c r="J32" s="32"/>
      <c r="K32" s="32"/>
      <c r="L32" s="32"/>
    </row>
    <row r="33" spans="1:12" ht="15" customHeight="1" x14ac:dyDescent="0.2">
      <c r="A33" s="3" t="s">
        <v>10</v>
      </c>
      <c r="B33" s="9"/>
      <c r="C33" s="4"/>
      <c r="D33" s="36"/>
      <c r="E33" s="40"/>
      <c r="F33" s="36"/>
      <c r="G33" s="40"/>
      <c r="H33" s="36"/>
      <c r="I33" s="36"/>
      <c r="J33" s="40"/>
      <c r="K33" s="36"/>
      <c r="L33" s="40"/>
    </row>
    <row r="34" spans="1:12" ht="15" customHeight="1" x14ac:dyDescent="0.2">
      <c r="A34" s="8"/>
      <c r="B34" s="11"/>
      <c r="C34" s="2" t="s">
        <v>2</v>
      </c>
      <c r="D34" s="32">
        <v>28.831677708479752</v>
      </c>
      <c r="E34" s="32">
        <v>29.740396327718848</v>
      </c>
      <c r="F34" s="32">
        <v>28.895384535087413</v>
      </c>
      <c r="G34" s="32">
        <v>31.031014252146782</v>
      </c>
      <c r="H34" s="32"/>
      <c r="I34" s="32"/>
      <c r="J34" s="32"/>
      <c r="K34" s="32"/>
      <c r="L34" s="32"/>
    </row>
    <row r="35" spans="1:12" ht="15" customHeight="1" x14ac:dyDescent="0.2">
      <c r="A35" s="18"/>
      <c r="B35" s="21"/>
      <c r="C35" s="2" t="s">
        <v>1</v>
      </c>
      <c r="D35" s="32">
        <v>-107.45151400422422</v>
      </c>
      <c r="E35" s="32">
        <v>-134.27980002259699</v>
      </c>
      <c r="F35" s="32">
        <v>-135.20644658803266</v>
      </c>
      <c r="G35" s="32">
        <v>-154.03700768365576</v>
      </c>
      <c r="H35" s="32"/>
      <c r="I35" s="32"/>
      <c r="J35" s="32"/>
      <c r="K35" s="32"/>
      <c r="L35" s="32"/>
    </row>
    <row r="36" spans="1:12" ht="15" customHeight="1" x14ac:dyDescent="0.2">
      <c r="A36" s="3" t="s">
        <v>8</v>
      </c>
      <c r="B36" s="9"/>
      <c r="C36" s="4"/>
      <c r="D36" s="36"/>
      <c r="E36" s="40"/>
      <c r="F36" s="36"/>
      <c r="G36" s="40"/>
      <c r="H36" s="36"/>
      <c r="I36" s="36"/>
      <c r="J36" s="40"/>
      <c r="K36" s="36"/>
      <c r="L36" s="40"/>
    </row>
    <row r="37" spans="1:12" ht="15" customHeight="1" x14ac:dyDescent="0.2">
      <c r="A37" s="26"/>
      <c r="B37" s="16" t="s">
        <v>34</v>
      </c>
      <c r="C37" s="2" t="s">
        <v>2</v>
      </c>
      <c r="D37" s="32">
        <v>22.562306521558909</v>
      </c>
      <c r="E37" s="32">
        <v>21.199898889894346</v>
      </c>
      <c r="F37" s="32">
        <v>22.396883456113628</v>
      </c>
      <c r="G37" s="32">
        <v>25.436876379093551</v>
      </c>
      <c r="H37" s="32"/>
      <c r="I37" s="32"/>
      <c r="J37" s="32"/>
      <c r="K37" s="32"/>
      <c r="L37" s="32"/>
    </row>
    <row r="38" spans="1:12" ht="15" customHeight="1" x14ac:dyDescent="0.2">
      <c r="A38" s="26"/>
      <c r="B38" s="16"/>
      <c r="C38" s="2" t="s">
        <v>1</v>
      </c>
      <c r="D38" s="32">
        <v>-70.337136567681313</v>
      </c>
      <c r="E38" s="32">
        <v>-78.136310348483903</v>
      </c>
      <c r="F38" s="32">
        <v>-86.981197618008764</v>
      </c>
      <c r="G38" s="32">
        <v>-111.32440196268465</v>
      </c>
      <c r="H38" s="32"/>
      <c r="I38" s="32"/>
      <c r="J38" s="32"/>
      <c r="K38" s="32"/>
      <c r="L38" s="32"/>
    </row>
    <row r="39" spans="1:12" ht="15" customHeight="1" x14ac:dyDescent="0.2">
      <c r="A39" s="26"/>
      <c r="B39" s="16" t="s">
        <v>35</v>
      </c>
      <c r="C39" s="2" t="s">
        <v>2</v>
      </c>
      <c r="D39" s="32">
        <v>25.984547232858564</v>
      </c>
      <c r="E39" s="32">
        <v>28.173134732109929</v>
      </c>
      <c r="F39" s="32">
        <v>29.484049271745437</v>
      </c>
      <c r="G39" s="32">
        <v>30.383927880961178</v>
      </c>
      <c r="H39" s="32"/>
      <c r="I39" s="32"/>
      <c r="J39" s="32"/>
      <c r="K39" s="32"/>
      <c r="L39" s="32"/>
    </row>
    <row r="40" spans="1:12" ht="15" customHeight="1" x14ac:dyDescent="0.2">
      <c r="A40" s="26"/>
      <c r="B40" s="16"/>
      <c r="C40" s="2" t="s">
        <v>1</v>
      </c>
      <c r="D40" s="32">
        <v>-90.165916939848302</v>
      </c>
      <c r="E40" s="32">
        <v>-120.69061529206095</v>
      </c>
      <c r="F40" s="32">
        <v>-133.75424051188213</v>
      </c>
      <c r="G40" s="32">
        <v>-144.42801350939763</v>
      </c>
      <c r="H40" s="32"/>
      <c r="I40" s="32"/>
      <c r="J40" s="32"/>
      <c r="K40" s="32"/>
      <c r="L40" s="32"/>
    </row>
    <row r="41" spans="1:12" ht="15" customHeight="1" x14ac:dyDescent="0.2">
      <c r="A41" s="26"/>
      <c r="B41" s="16" t="s">
        <v>36</v>
      </c>
      <c r="C41" s="2" t="s">
        <v>2</v>
      </c>
      <c r="D41" s="32">
        <v>30.714998325395577</v>
      </c>
      <c r="E41" s="32">
        <v>32.844640991565861</v>
      </c>
      <c r="F41" s="32">
        <v>32.022806961788412</v>
      </c>
      <c r="G41" s="32">
        <v>33.682604549468358</v>
      </c>
      <c r="H41" s="32"/>
      <c r="I41" s="32"/>
      <c r="J41" s="32"/>
      <c r="K41" s="32"/>
      <c r="L41" s="32"/>
    </row>
    <row r="42" spans="1:12" ht="15" customHeight="1" x14ac:dyDescent="0.2">
      <c r="A42" s="26"/>
      <c r="B42" s="16"/>
      <c r="C42" s="2" t="s">
        <v>1</v>
      </c>
      <c r="D42" s="32">
        <v>-116.65344013374505</v>
      </c>
      <c r="E42" s="32">
        <v>-154.67877853992042</v>
      </c>
      <c r="F42" s="32">
        <v>-157.99780016077361</v>
      </c>
      <c r="G42" s="32">
        <v>-174.75316955765416</v>
      </c>
      <c r="H42" s="32"/>
      <c r="I42" s="32"/>
      <c r="J42" s="32"/>
      <c r="K42" s="32"/>
      <c r="L42" s="32"/>
    </row>
    <row r="43" spans="1:12" ht="15" customHeight="1" x14ac:dyDescent="0.2">
      <c r="A43" s="26"/>
      <c r="B43" s="16" t="s">
        <v>37</v>
      </c>
      <c r="C43" s="2" t="s">
        <v>2</v>
      </c>
      <c r="D43" s="32">
        <v>37.802085364209788</v>
      </c>
      <c r="E43" s="32">
        <v>38.802468652105311</v>
      </c>
      <c r="F43" s="32">
        <v>38.352592018428268</v>
      </c>
      <c r="G43" s="32">
        <v>41.330541330791199</v>
      </c>
      <c r="H43" s="32"/>
      <c r="I43" s="32"/>
      <c r="J43" s="32"/>
      <c r="K43" s="32"/>
      <c r="L43" s="32"/>
    </row>
    <row r="44" spans="1:12" ht="15" customHeight="1" x14ac:dyDescent="0.2">
      <c r="A44" s="26"/>
      <c r="B44" s="16"/>
      <c r="C44" s="2" t="s">
        <v>1</v>
      </c>
      <c r="D44" s="32">
        <v>-162.6971501544852</v>
      </c>
      <c r="E44" s="32">
        <v>-194.6662278182512</v>
      </c>
      <c r="F44" s="32">
        <v>-200.88581044153699</v>
      </c>
      <c r="G44" s="32">
        <v>-226.86196763146654</v>
      </c>
      <c r="H44" s="32"/>
      <c r="I44" s="32"/>
      <c r="J44" s="32"/>
      <c r="K44" s="32"/>
      <c r="L44" s="32"/>
    </row>
    <row r="45" spans="1:12" ht="15" customHeight="1" x14ac:dyDescent="0.2">
      <c r="A45" s="26"/>
      <c r="B45" s="16" t="s">
        <v>38</v>
      </c>
      <c r="C45" s="2" t="s">
        <v>2</v>
      </c>
      <c r="D45" s="32">
        <v>43.28728072279263</v>
      </c>
      <c r="E45" s="32">
        <v>47.398570536007114</v>
      </c>
      <c r="F45" s="32">
        <v>46.488009029812645</v>
      </c>
      <c r="G45" s="32">
        <v>44.802446278954747</v>
      </c>
      <c r="H45" s="32"/>
      <c r="I45" s="32"/>
      <c r="J45" s="32"/>
      <c r="K45" s="32"/>
      <c r="L45" s="32"/>
    </row>
    <row r="46" spans="1:12" ht="15" customHeight="1" x14ac:dyDescent="0.2">
      <c r="A46" s="26"/>
      <c r="B46" s="16"/>
      <c r="C46" s="2" t="s">
        <v>1</v>
      </c>
      <c r="D46" s="32">
        <v>-199.61884482225838</v>
      </c>
      <c r="E46" s="32">
        <v>-255.09376172206697</v>
      </c>
      <c r="F46" s="32">
        <v>-259.98894777868651</v>
      </c>
      <c r="G46" s="32">
        <v>-257.39351115769045</v>
      </c>
      <c r="H46" s="32"/>
      <c r="I46" s="32"/>
      <c r="J46" s="32"/>
      <c r="K46" s="32"/>
      <c r="L46" s="32"/>
    </row>
    <row r="47" spans="1:12" ht="15" customHeight="1" x14ac:dyDescent="0.2">
      <c r="A47" s="26"/>
      <c r="B47" s="16" t="s">
        <v>39</v>
      </c>
      <c r="C47" s="2" t="s">
        <v>2</v>
      </c>
      <c r="D47" s="32">
        <v>46.495928901014494</v>
      </c>
      <c r="E47" s="32">
        <v>44.785887350693592</v>
      </c>
      <c r="F47" s="32">
        <v>54.499728957236655</v>
      </c>
      <c r="G47" s="32">
        <v>70.435953156117051</v>
      </c>
      <c r="H47" s="32"/>
      <c r="I47" s="32"/>
      <c r="J47" s="32"/>
      <c r="K47" s="32"/>
      <c r="L47" s="32"/>
    </row>
    <row r="48" spans="1:12" ht="15" customHeight="1" x14ac:dyDescent="0.2">
      <c r="A48" s="26"/>
      <c r="B48" s="16"/>
      <c r="C48" s="2" t="s">
        <v>1</v>
      </c>
      <c r="D48" s="32">
        <v>-225.94943947441877</v>
      </c>
      <c r="E48" s="32">
        <v>-249.65980505618143</v>
      </c>
      <c r="F48" s="32">
        <v>-320.64959080352162</v>
      </c>
      <c r="G48" s="32">
        <v>-430.43592158670089</v>
      </c>
      <c r="H48" s="32"/>
      <c r="I48" s="32"/>
      <c r="J48" s="32"/>
      <c r="K48" s="32"/>
      <c r="L48" s="32"/>
    </row>
    <row r="49" spans="1:12" ht="15" customHeight="1" x14ac:dyDescent="0.2">
      <c r="A49" s="26"/>
      <c r="B49" s="16" t="s">
        <v>40</v>
      </c>
      <c r="C49" s="2" t="s">
        <v>2</v>
      </c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" customHeight="1" x14ac:dyDescent="0.2">
      <c r="A50" s="27"/>
      <c r="B50" s="20"/>
      <c r="C50" s="2" t="s">
        <v>1</v>
      </c>
      <c r="D50" s="32"/>
      <c r="E50" s="32"/>
      <c r="F50" s="32"/>
      <c r="G50" s="32"/>
      <c r="H50" s="32"/>
      <c r="I50" s="32"/>
      <c r="J50" s="32"/>
      <c r="K50" s="32"/>
      <c r="L50" s="32"/>
    </row>
    <row r="51" spans="1:12" x14ac:dyDescent="0.2">
      <c r="A51" t="s">
        <v>41</v>
      </c>
    </row>
    <row r="52" spans="1:12" x14ac:dyDescent="0.2">
      <c r="D52" s="64"/>
      <c r="I52" s="64"/>
    </row>
  </sheetData>
  <mergeCells count="2">
    <mergeCell ref="I1:L1"/>
    <mergeCell ref="D1:G1"/>
  </mergeCells>
  <pageMargins left="0.7" right="0.7" top="0.75" bottom="0.75" header="0.3" footer="0.3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topLeftCell="A7" workbookViewId="0">
      <selection activeCell="B29" sqref="B29"/>
    </sheetView>
  </sheetViews>
  <sheetFormatPr baseColWidth="10" defaultColWidth="9.1640625" defaultRowHeight="12" x14ac:dyDescent="0.15"/>
  <cols>
    <col min="1" max="1" width="9.1640625" style="44"/>
    <col min="2" max="2" width="13.83203125" style="44" bestFit="1" customWidth="1"/>
    <col min="3" max="3" width="13.5" style="44" bestFit="1" customWidth="1"/>
    <col min="4" max="4" width="14.83203125" style="44" bestFit="1" customWidth="1"/>
    <col min="5" max="5" width="13.5" style="44" bestFit="1" customWidth="1"/>
    <col min="6" max="11" width="10.83203125" style="44" bestFit="1" customWidth="1"/>
    <col min="12" max="16384" width="9.1640625" style="42"/>
  </cols>
  <sheetData>
    <row r="1" spans="1:15" x14ac:dyDescent="0.15">
      <c r="A1" s="65" t="s">
        <v>42</v>
      </c>
    </row>
    <row r="2" spans="1:15" x14ac:dyDescent="0.15">
      <c r="A2" s="46" t="str">
        <f>IF(ISBLANK(TechData!C2),"",TechData!C2)</f>
        <v>Type</v>
      </c>
      <c r="B2" s="45" t="str">
        <f>IF(ISBLANK(TechData!D2),"",TechData!D2)</f>
        <v>SLS-1
SLB-1</v>
      </c>
      <c r="C2" s="45" t="str">
        <f>IF(ISBLANK(TechData!E2),"",TechData!E2)</f>
        <v>SLS-2
SLB-2
SLF-2</v>
      </c>
      <c r="D2" s="45" t="str">
        <f>IF(ISBLANK(TechData!F2),"",TechData!F2)</f>
        <v>SLS-3
SLB-3
SLF-3</v>
      </c>
      <c r="E2" s="45" t="str">
        <f>IF(ISBLANK(TechData!G2),"",TechData!G2)</f>
        <v>SLS-4
SLB-4
SLF-4</v>
      </c>
      <c r="F2" s="45" t="e">
        <f>IF(ISBLANK(TechData!#REF!),"",TechData!#REF!)</f>
        <v>#REF!</v>
      </c>
      <c r="G2" s="45" t="e">
        <f>IF(ISBLANK(TechData!#REF!),"",TechData!#REF!)</f>
        <v>#REF!</v>
      </c>
      <c r="H2" s="45" t="str">
        <f>IF(ISBLANK(TechData!H2),"",TechData!H2)</f>
        <v/>
      </c>
      <c r="I2" s="45" t="str">
        <f>IF(ISBLANK(TechData!I2),"",TechData!I2)</f>
        <v>SLS-1
SLB-1</v>
      </c>
      <c r="J2" s="45" t="str">
        <f>IF(ISBLANK(TechData!J2),"",TechData!J2)</f>
        <v>SLS-2
SLB-2</v>
      </c>
      <c r="K2" s="45" t="str">
        <f>IF(ISBLANK(TechData!K2),"",TechData!K2)</f>
        <v>SLS-3
SLB-3
SLF-3</v>
      </c>
    </row>
    <row r="3" spans="1:15" x14ac:dyDescent="0.15">
      <c r="A3" s="46" t="str">
        <f>IF(ISBLANK(TechData!C3),"",TechData!C3)</f>
        <v>Size</v>
      </c>
      <c r="B3" s="45">
        <f>IF(ISBLANK(TechData!D3),"",TechData!D3)</f>
        <v>1000</v>
      </c>
      <c r="C3" s="45">
        <f>IF(ISBLANK(TechData!E3),"",TechData!E3)</f>
        <v>1000</v>
      </c>
      <c r="D3" s="45">
        <f>IF(ISBLANK(TechData!F3),"",TechData!F3)</f>
        <v>1000</v>
      </c>
      <c r="E3" s="45">
        <f>IF(ISBLANK(TechData!G3),"",TechData!G3)</f>
        <v>1000</v>
      </c>
      <c r="F3" s="45" t="e">
        <f>IF(ISBLANK(TechData!#REF!),"",TechData!#REF!)</f>
        <v>#REF!</v>
      </c>
      <c r="G3" s="45" t="e">
        <f>IF(ISBLANK(TechData!#REF!),"",TechData!#REF!)</f>
        <v>#REF!</v>
      </c>
      <c r="H3" s="45" t="str">
        <f>IF(ISBLANK(TechData!H3),"",TechData!H3)</f>
        <v/>
      </c>
      <c r="I3" s="45">
        <f>IF(ISBLANK(TechData!I3),"",TechData!I3)</f>
        <v>1000</v>
      </c>
      <c r="J3" s="45">
        <f>IF(ISBLANK(TechData!J3),"",TechData!J3)</f>
        <v>1000</v>
      </c>
      <c r="K3" s="45">
        <f>IF(ISBLANK(TechData!K3),"",TechData!K3)</f>
        <v>1000</v>
      </c>
      <c r="O3" s="43"/>
    </row>
    <row r="4" spans="1:15" x14ac:dyDescent="0.15">
      <c r="A4" s="46" t="str">
        <f>IF(ISBLANK(TechData!C4),"",TechData!C4)</f>
        <v>condition 1</v>
      </c>
      <c r="B4" s="45" t="str">
        <f>IF(ISBLANK(TechData!D4),"",TechData!D4)</f>
        <v>deflectors in/out</v>
      </c>
      <c r="C4" s="45" t="str">
        <f>IF(ISBLANK(TechData!E4),"",TechData!E4)</f>
        <v>deflectors in/out</v>
      </c>
      <c r="D4" s="45" t="str">
        <f>IF(ISBLANK(TechData!F4),"",TechData!F4)</f>
        <v>deflectors in/out</v>
      </c>
      <c r="E4" s="45" t="str">
        <f>IF(ISBLANK(TechData!G4),"",TechData!G4)</f>
        <v>deflectors in/out</v>
      </c>
      <c r="F4" s="45" t="e">
        <f>IF(ISBLANK(TechData!#REF!),"",TechData!#REF!)</f>
        <v>#REF!</v>
      </c>
      <c r="G4" s="45" t="e">
        <f>IF(ISBLANK(TechData!#REF!),"",TechData!#REF!)</f>
        <v>#REF!</v>
      </c>
      <c r="H4" s="45" t="str">
        <f>IF(ISBLANK(TechData!H4),"",TechData!H4)</f>
        <v/>
      </c>
      <c r="I4" s="45" t="str">
        <f>IF(ISBLANK(TechData!I4),"",TechData!I4)</f>
        <v>deflectors out/out</v>
      </c>
      <c r="J4" s="45" t="str">
        <f>IF(ISBLANK(TechData!J4),"",TechData!J4)</f>
        <v>deflectors out/out</v>
      </c>
      <c r="K4" s="45" t="str">
        <f>IF(ISBLANK(TechData!K4),"",TechData!K4)</f>
        <v>deflectors out/out</v>
      </c>
    </row>
    <row r="5" spans="1:15" x14ac:dyDescent="0.15">
      <c r="A5" s="46" t="str">
        <f>IF(ISBLANK(TechData!C5),"",TechData!C5)</f>
        <v>condition 2</v>
      </c>
      <c r="B5" s="45" t="str">
        <f>IF(ISBLANK(TechData!D5),"",TechData!D5)</f>
        <v>100% (open)</v>
      </c>
      <c r="C5" s="45" t="str">
        <f>IF(ISBLANK(TechData!E5),"",TechData!E5)</f>
        <v>100% (open)</v>
      </c>
      <c r="D5" s="45" t="str">
        <f>IF(ISBLANK(TechData!F5),"",TechData!F5)</f>
        <v>100% (open)</v>
      </c>
      <c r="E5" s="45" t="str">
        <f>IF(ISBLANK(TechData!G5),"",TechData!G5)</f>
        <v>100% (open)</v>
      </c>
      <c r="F5" s="45" t="e">
        <f>IF(ISBLANK(TechData!#REF!),"",TechData!#REF!)</f>
        <v>#REF!</v>
      </c>
      <c r="G5" s="45" t="e">
        <f>IF(ISBLANK(TechData!#REF!),"",TechData!#REF!)</f>
        <v>#REF!</v>
      </c>
      <c r="H5" s="45" t="str">
        <f>IF(ISBLANK(TechData!H5),"",TechData!H5)</f>
        <v/>
      </c>
      <c r="I5" s="45" t="str">
        <f>IF(ISBLANK(TechData!I5),"",TechData!I5)</f>
        <v>100% (open)</v>
      </c>
      <c r="J5" s="45" t="str">
        <f>IF(ISBLANK(TechData!J5),"",TechData!J5)</f>
        <v>100% (open)</v>
      </c>
      <c r="K5" s="45" t="str">
        <f>IF(ISBLANK(TechData!K5),"",TechData!K5)</f>
        <v>100% (open)</v>
      </c>
    </row>
    <row r="6" spans="1:15" x14ac:dyDescent="0.15">
      <c r="A6" s="53" t="str">
        <f>IF(ISBLANK(TechData!C6),"",TechData!C6)</f>
        <v>condition 3</v>
      </c>
      <c r="B6" s="54" t="str">
        <f>IF(ISBLANK(TechData!D6),"",TechData!D6)</f>
        <v>SP--1</v>
      </c>
      <c r="C6" s="54" t="str">
        <f>IF(ISBLANK(TechData!E6),"",TechData!E6)</f>
        <v>SP--2</v>
      </c>
      <c r="D6" s="54" t="str">
        <f>IF(ISBLANK(TechData!F6),"",TechData!F6)</f>
        <v>SP--3</v>
      </c>
      <c r="E6" s="54" t="str">
        <f>IF(ISBLANK(TechData!G6),"",TechData!G6)</f>
        <v>SP--4</v>
      </c>
      <c r="F6" s="54" t="e">
        <f>IF(ISBLANK(TechData!#REF!),"",TechData!#REF!)</f>
        <v>#REF!</v>
      </c>
      <c r="G6" s="54" t="e">
        <f>IF(ISBLANK(TechData!#REF!),"",TechData!#REF!)</f>
        <v>#REF!</v>
      </c>
      <c r="H6" s="54" t="str">
        <f>IF(ISBLANK(TechData!H6),"",TechData!H6)</f>
        <v/>
      </c>
      <c r="I6" s="54" t="str">
        <f>IF(ISBLANK(TechData!I6),"",TechData!I6)</f>
        <v>SP--1</v>
      </c>
      <c r="J6" s="54" t="str">
        <f>IF(ISBLANK(TechData!J6),"",TechData!J6)</f>
        <v>SP--2</v>
      </c>
      <c r="K6" s="54" t="str">
        <f>IF(ISBLANK(TechData!K6),"",TechData!K6)</f>
        <v>SP--3</v>
      </c>
    </row>
    <row r="7" spans="1:15" ht="15" x14ac:dyDescent="0.2">
      <c r="A7" s="48" t="s">
        <v>2</v>
      </c>
    </row>
    <row r="8" spans="1:15" x14ac:dyDescent="0.15">
      <c r="A8" s="47" t="s">
        <v>43</v>
      </c>
    </row>
    <row r="9" spans="1:15" x14ac:dyDescent="0.15">
      <c r="A9" s="49">
        <v>4</v>
      </c>
      <c r="B9" s="50">
        <f>IF(ISBLANK(TechData!D16),"",TechData!D16)</f>
        <v>1.3870254153720607</v>
      </c>
      <c r="C9" s="50">
        <f>IF(ISBLANK(TechData!E16),"",TechData!E16)</f>
        <v>1.3870254153720607</v>
      </c>
      <c r="D9" s="50">
        <f>IF(ISBLANK(TechData!F16),"",TechData!F16)</f>
        <v>1.3870254153720607</v>
      </c>
      <c r="E9" s="50">
        <f>IF(ISBLANK(TechData!G16),"",TechData!G16)</f>
        <v>1.3870254153720607</v>
      </c>
      <c r="F9" s="50" t="e">
        <f>IF(ISBLANK(TechData!#REF!),"",TechData!#REF!)</f>
        <v>#REF!</v>
      </c>
      <c r="G9" s="50" t="e">
        <f>IF(ISBLANK(TechData!#REF!),"",TechData!#REF!)</f>
        <v>#REF!</v>
      </c>
      <c r="H9" s="50" t="str">
        <f>IF(ISBLANK(TechData!H16),"",TechData!H16)</f>
        <v/>
      </c>
      <c r="I9" s="50" t="str">
        <f>IF(ISBLANK(TechData!I16),"",TechData!I16)</f>
        <v/>
      </c>
      <c r="J9" s="50" t="str">
        <f>IF(ISBLANK(TechData!J16),"",TechData!J16)</f>
        <v/>
      </c>
      <c r="K9" s="50" t="str">
        <f>IF(ISBLANK(TechData!K16),"",TechData!K16)</f>
        <v/>
      </c>
    </row>
    <row r="10" spans="1:15" x14ac:dyDescent="0.15">
      <c r="A10" s="49">
        <v>6</v>
      </c>
      <c r="B10" s="50">
        <f>IF(ISBLANK(TechData!D18),"",TechData!D18)</f>
        <v>1.3870254153720607</v>
      </c>
      <c r="C10" s="50">
        <f>IF(ISBLANK(TechData!E18),"",TechData!E18)</f>
        <v>1.3870254153720607</v>
      </c>
      <c r="D10" s="50">
        <f>IF(ISBLANK(TechData!F18),"",TechData!F18)</f>
        <v>1.3870254153720607</v>
      </c>
      <c r="E10" s="50">
        <f>IF(ISBLANK(TechData!G18),"",TechData!G18)</f>
        <v>1.3870254153720607</v>
      </c>
      <c r="F10" s="50" t="e">
        <f>IF(ISBLANK(TechData!#REF!),"",TechData!#REF!)</f>
        <v>#REF!</v>
      </c>
      <c r="G10" s="50" t="e">
        <f>IF(ISBLANK(TechData!#REF!),"",TechData!#REF!)</f>
        <v>#REF!</v>
      </c>
      <c r="H10" s="50" t="str">
        <f>IF(ISBLANK(TechData!H18),"",TechData!H18)</f>
        <v/>
      </c>
      <c r="I10" s="50" t="str">
        <f>IF(ISBLANK(TechData!I18),"",TechData!I18)</f>
        <v/>
      </c>
      <c r="J10" s="50" t="str">
        <f>IF(ISBLANK(TechData!J18),"",TechData!J18)</f>
        <v/>
      </c>
      <c r="K10" s="50" t="str">
        <f>IF(ISBLANK(TechData!K18),"",TechData!K18)</f>
        <v/>
      </c>
    </row>
    <row r="11" spans="1:15" x14ac:dyDescent="0.15">
      <c r="A11" s="49">
        <v>8</v>
      </c>
      <c r="B11" s="50">
        <f>IF(ISBLANK(TechData!D20),"",TechData!D20)</f>
        <v>1.3870254153720607</v>
      </c>
      <c r="C11" s="50">
        <f>IF(ISBLANK(TechData!E20),"",TechData!E20)</f>
        <v>1.3870254153720607</v>
      </c>
      <c r="D11" s="50">
        <f>IF(ISBLANK(TechData!F20),"",TechData!F20)</f>
        <v>1.3870254153720607</v>
      </c>
      <c r="E11" s="50">
        <f>IF(ISBLANK(TechData!G20),"",TechData!G20)</f>
        <v>1.3870254153720607</v>
      </c>
      <c r="F11" s="50" t="e">
        <f>IF(ISBLANK(TechData!#REF!),"",TechData!#REF!)</f>
        <v>#REF!</v>
      </c>
      <c r="G11" s="50" t="e">
        <f>IF(ISBLANK(TechData!#REF!),"",TechData!#REF!)</f>
        <v>#REF!</v>
      </c>
      <c r="H11" s="50" t="str">
        <f>IF(ISBLANK(TechData!H20),"",TechData!H20)</f>
        <v/>
      </c>
      <c r="I11" s="50" t="str">
        <f>IF(ISBLANK(TechData!I20),"",TechData!I20)</f>
        <v/>
      </c>
      <c r="J11" s="50" t="str">
        <f>IF(ISBLANK(TechData!J20),"",TechData!J20)</f>
        <v/>
      </c>
      <c r="K11" s="50" t="str">
        <f>IF(ISBLANK(TechData!K20),"",TechData!K20)</f>
        <v/>
      </c>
    </row>
    <row r="12" spans="1:15" x14ac:dyDescent="0.15">
      <c r="A12" s="49">
        <v>10</v>
      </c>
      <c r="B12" s="50">
        <f>IF(ISBLANK(TechData!D22),"",TechData!D22)</f>
        <v>1.3870254153720607</v>
      </c>
      <c r="C12" s="50">
        <f>IF(ISBLANK(TechData!E22),"",TechData!E22)</f>
        <v>1.3870254153720607</v>
      </c>
      <c r="D12" s="50">
        <f>IF(ISBLANK(TechData!F22),"",TechData!F22)</f>
        <v>1.3870254153720607</v>
      </c>
      <c r="E12" s="50">
        <f>IF(ISBLANK(TechData!G22),"",TechData!G22)</f>
        <v>1.3870254153720607</v>
      </c>
      <c r="F12" s="50" t="e">
        <f>IF(ISBLANK(TechData!#REF!),"",TechData!#REF!)</f>
        <v>#REF!</v>
      </c>
      <c r="G12" s="50" t="e">
        <f>IF(ISBLANK(TechData!#REF!),"",TechData!#REF!)</f>
        <v>#REF!</v>
      </c>
      <c r="H12" s="50" t="str">
        <f>IF(ISBLANK(TechData!H22),"",TechData!H22)</f>
        <v/>
      </c>
      <c r="I12" s="50" t="str">
        <f>IF(ISBLANK(TechData!I22),"",TechData!I22)</f>
        <v/>
      </c>
      <c r="J12" s="50" t="str">
        <f>IF(ISBLANK(TechData!J22),"",TechData!J22)</f>
        <v/>
      </c>
      <c r="K12" s="50" t="str">
        <f>IF(ISBLANK(TechData!K22),"",TechData!K22)</f>
        <v/>
      </c>
    </row>
    <row r="13" spans="1:15" x14ac:dyDescent="0.15">
      <c r="A13" s="49">
        <v>12</v>
      </c>
      <c r="B13" s="50">
        <f>IF(ISBLANK(TechData!D24),"",TechData!D24)</f>
        <v>1.3870254153720607</v>
      </c>
      <c r="C13" s="50">
        <f>IF(ISBLANK(TechData!E24),"",TechData!E24)</f>
        <v>1.3870254153720607</v>
      </c>
      <c r="D13" s="50">
        <f>IF(ISBLANK(TechData!F24),"",TechData!F24)</f>
        <v>1.3870254153720607</v>
      </c>
      <c r="E13" s="50">
        <f>IF(ISBLANK(TechData!G24),"",TechData!G24)</f>
        <v>1.3870254153720607</v>
      </c>
      <c r="F13" s="50" t="e">
        <f>IF(ISBLANK(TechData!#REF!),"",TechData!#REF!)</f>
        <v>#REF!</v>
      </c>
      <c r="G13" s="50" t="e">
        <f>IF(ISBLANK(TechData!#REF!),"",TechData!#REF!)</f>
        <v>#REF!</v>
      </c>
      <c r="H13" s="50" t="str">
        <f>IF(ISBLANK(TechData!H24),"",TechData!H24)</f>
        <v/>
      </c>
      <c r="I13" s="50" t="str">
        <f>IF(ISBLANK(TechData!I24),"",TechData!I24)</f>
        <v/>
      </c>
      <c r="J13" s="50" t="str">
        <f>IF(ISBLANK(TechData!J24),"",TechData!J24)</f>
        <v/>
      </c>
      <c r="K13" s="50" t="str">
        <f>IF(ISBLANK(TechData!K24),"",TechData!K24)</f>
        <v/>
      </c>
    </row>
    <row r="14" spans="1:15" x14ac:dyDescent="0.15"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5" ht="15" x14ac:dyDescent="0.2">
      <c r="A15" s="48" t="s">
        <v>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5" x14ac:dyDescent="0.15">
      <c r="A16" s="49">
        <v>4</v>
      </c>
      <c r="B16" s="50">
        <f>IF(ISBLANK(TechData!D17),"",TechData!D17)</f>
        <v>-2.1599298123382686</v>
      </c>
      <c r="C16" s="50">
        <f>IF(ISBLANK(TechData!E17),"",TechData!E17)</f>
        <v>-2.487382982822318</v>
      </c>
      <c r="D16" s="50">
        <f>IF(ISBLANK(TechData!F17),"",TechData!F17)</f>
        <v>-2.6789308082977388</v>
      </c>
      <c r="E16" s="50">
        <f>IF(ISBLANK(TechData!G17),"",TechData!G17)</f>
        <v>-2.8148361533063677</v>
      </c>
      <c r="F16" s="50" t="e">
        <f>IF(ISBLANK(TechData!#REF!),"",TechData!#REF!)</f>
        <v>#REF!</v>
      </c>
      <c r="G16" s="50" t="e">
        <f>IF(ISBLANK(TechData!#REF!),"",TechData!#REF!)</f>
        <v>#REF!</v>
      </c>
      <c r="H16" s="50" t="str">
        <f>IF(ISBLANK(TechData!H17),"",TechData!H17)</f>
        <v/>
      </c>
      <c r="I16" s="50" t="str">
        <f>IF(ISBLANK(TechData!I17),"",TechData!I17)</f>
        <v/>
      </c>
      <c r="J16" s="50" t="str">
        <f>IF(ISBLANK(TechData!J17),"",TechData!J17)</f>
        <v/>
      </c>
      <c r="K16" s="50" t="str">
        <f>IF(ISBLANK(TechData!K17),"",TechData!K17)</f>
        <v/>
      </c>
    </row>
    <row r="17" spans="1:11" x14ac:dyDescent="0.15">
      <c r="A17" s="49">
        <v>6</v>
      </c>
      <c r="B17" s="50">
        <f>IF(ISBLANK(TechData!D19),"",TechData!D19)</f>
        <v>-2.2671833905331673</v>
      </c>
      <c r="C17" s="50">
        <f>IF(ISBLANK(TechData!E19),"",TechData!E19)</f>
        <v>-2.5946365610172171</v>
      </c>
      <c r="D17" s="50">
        <f>IF(ISBLANK(TechData!F19),"",TechData!F19)</f>
        <v>-2.7861843864926379</v>
      </c>
      <c r="E17" s="50">
        <f>IF(ISBLANK(TechData!G19),"",TechData!G19)</f>
        <v>-2.9220897315012668</v>
      </c>
      <c r="F17" s="50" t="e">
        <f>IF(ISBLANK(TechData!#REF!),"",TechData!#REF!)</f>
        <v>#REF!</v>
      </c>
      <c r="G17" s="50" t="e">
        <f>IF(ISBLANK(TechData!#REF!),"",TechData!#REF!)</f>
        <v>#REF!</v>
      </c>
      <c r="H17" s="50" t="str">
        <f>IF(ISBLANK(TechData!H19),"",TechData!H19)</f>
        <v/>
      </c>
      <c r="I17" s="50" t="str">
        <f>IF(ISBLANK(TechData!I19),"",TechData!I19)</f>
        <v/>
      </c>
      <c r="J17" s="50" t="str">
        <f>IF(ISBLANK(TechData!J19),"",TechData!J19)</f>
        <v/>
      </c>
      <c r="K17" s="50" t="str">
        <f>IF(ISBLANK(TechData!K19),"",TechData!K19)</f>
        <v/>
      </c>
    </row>
    <row r="18" spans="1:11" x14ac:dyDescent="0.15">
      <c r="A18" s="49">
        <v>8</v>
      </c>
      <c r="B18" s="50">
        <f>IF(ISBLANK(TechData!D21),"",TechData!D21)</f>
        <v>-2.3432810153002945</v>
      </c>
      <c r="C18" s="50">
        <f>IF(ISBLANK(TechData!E21),"",TechData!E21)</f>
        <v>-2.6707341857843439</v>
      </c>
      <c r="D18" s="50">
        <f>IF(ISBLANK(TechData!F21),"",TechData!F21)</f>
        <v>-2.8622820112597651</v>
      </c>
      <c r="E18" s="50">
        <f>IF(ISBLANK(TechData!G21),"",TechData!G21)</f>
        <v>-2.9981873562683936</v>
      </c>
      <c r="F18" s="50" t="e">
        <f>IF(ISBLANK(TechData!#REF!),"",TechData!#REF!)</f>
        <v>#REF!</v>
      </c>
      <c r="G18" s="50" t="e">
        <f>IF(ISBLANK(TechData!#REF!),"",TechData!#REF!)</f>
        <v>#REF!</v>
      </c>
      <c r="H18" s="50" t="str">
        <f>IF(ISBLANK(TechData!H21),"",TechData!H21)</f>
        <v/>
      </c>
      <c r="I18" s="50" t="str">
        <f>IF(ISBLANK(TechData!I21),"",TechData!I21)</f>
        <v/>
      </c>
      <c r="J18" s="50" t="str">
        <f>IF(ISBLANK(TechData!J21),"",TechData!J21)</f>
        <v/>
      </c>
      <c r="K18" s="50" t="str">
        <f>IF(ISBLANK(TechData!K21),"",TechData!K21)</f>
        <v/>
      </c>
    </row>
    <row r="19" spans="1:11" x14ac:dyDescent="0.15">
      <c r="A19" s="49">
        <v>10</v>
      </c>
      <c r="B19" s="50">
        <f>IF(ISBLANK(TechData!D23),"",TechData!D23)</f>
        <v>-2.4023069187651656</v>
      </c>
      <c r="C19" s="50">
        <f>IF(ISBLANK(TechData!E23),"",TechData!E23)</f>
        <v>-2.7297600892492153</v>
      </c>
      <c r="D19" s="50">
        <f>IF(ISBLANK(TechData!F23),"",TechData!F23)</f>
        <v>-2.9213079147246361</v>
      </c>
      <c r="E19" s="50">
        <f>IF(ISBLANK(TechData!G23),"",TechData!G23)</f>
        <v>-3.0572132597332651</v>
      </c>
      <c r="F19" s="50" t="e">
        <f>IF(ISBLANK(TechData!#REF!),"",TechData!#REF!)</f>
        <v>#REF!</v>
      </c>
      <c r="G19" s="50" t="e">
        <f>IF(ISBLANK(TechData!#REF!),"",TechData!#REF!)</f>
        <v>#REF!</v>
      </c>
      <c r="H19" s="50" t="str">
        <f>IF(ISBLANK(TechData!H23),"",TechData!H23)</f>
        <v/>
      </c>
      <c r="I19" s="50" t="str">
        <f>IF(ISBLANK(TechData!I23),"",TechData!I23)</f>
        <v/>
      </c>
      <c r="J19" s="50" t="str">
        <f>IF(ISBLANK(TechData!J23),"",TechData!J23)</f>
        <v/>
      </c>
      <c r="K19" s="50" t="str">
        <f>IF(ISBLANK(TechData!K23),"",TechData!K23)</f>
        <v/>
      </c>
    </row>
    <row r="20" spans="1:11" x14ac:dyDescent="0.15">
      <c r="A20" s="49">
        <v>12</v>
      </c>
      <c r="B20" s="50">
        <f>IF(ISBLANK(TechData!D25),"",TechData!D25)</f>
        <v>-2.4505345934951936</v>
      </c>
      <c r="C20" s="50">
        <f>IF(ISBLANK(TechData!E25),"",TechData!E25)</f>
        <v>-2.777987763979243</v>
      </c>
      <c r="D20" s="50">
        <f>IF(ISBLANK(TechData!F25),"",TechData!F25)</f>
        <v>-2.9695355894546638</v>
      </c>
      <c r="E20" s="50">
        <f>IF(ISBLANK(TechData!G25),"",TechData!G25)</f>
        <v>-3.1054409344632927</v>
      </c>
      <c r="F20" s="50" t="e">
        <f>IF(ISBLANK(TechData!#REF!),"",TechData!#REF!)</f>
        <v>#REF!</v>
      </c>
      <c r="G20" s="50" t="e">
        <f>IF(ISBLANK(TechData!#REF!),"",TechData!#REF!)</f>
        <v>#REF!</v>
      </c>
      <c r="H20" s="50" t="str">
        <f>IF(ISBLANK(TechData!H25),"",TechData!H25)</f>
        <v/>
      </c>
      <c r="I20" s="50" t="str">
        <f>IF(ISBLANK(TechData!I25),"",TechData!I25)</f>
        <v/>
      </c>
      <c r="J20" s="50" t="str">
        <f>IF(ISBLANK(TechData!J25),"",TechData!J25)</f>
        <v/>
      </c>
      <c r="K20" s="50" t="str">
        <f>IF(ISBLANK(TechData!K25),"",TechData!K25)</f>
        <v/>
      </c>
    </row>
    <row r="22" spans="1:11" x14ac:dyDescent="0.15">
      <c r="A22" s="52" t="s">
        <v>44</v>
      </c>
    </row>
    <row r="23" spans="1:11" x14ac:dyDescent="0.15">
      <c r="A23" s="49">
        <f>ABS(SelectionData!$C$6-SelectionData!$C$5)</f>
        <v>8</v>
      </c>
    </row>
    <row r="24" spans="1:11" x14ac:dyDescent="0.15">
      <c r="A24" s="49" t="s">
        <v>50</v>
      </c>
      <c r="B24" s="49">
        <f ca="1">IF(B9="","",IF($A$23&lt;4,4,IF($A$23&gt;12,10,OFFSET($A$9,MATCH($A$23,$A$9:$A$13)-1,0))))</f>
        <v>8</v>
      </c>
      <c r="C24" s="49">
        <f t="shared" ref="C24:K24" ca="1" si="0">IF(C9="","",IF($A$23&lt;4,4,IF($A$23&gt;12,10,OFFSET($A$9,MATCH($A$23,$A$9:$A$13)-1,0))))</f>
        <v>8</v>
      </c>
      <c r="D24" s="49">
        <f t="shared" ca="1" si="0"/>
        <v>8</v>
      </c>
      <c r="E24" s="49">
        <f t="shared" ca="1" si="0"/>
        <v>8</v>
      </c>
      <c r="F24" s="49" t="e">
        <f t="shared" ca="1" si="0"/>
        <v>#REF!</v>
      </c>
      <c r="G24" s="49" t="e">
        <f t="shared" ca="1" si="0"/>
        <v>#REF!</v>
      </c>
      <c r="H24" s="49" t="str">
        <f t="shared" ca="1" si="0"/>
        <v/>
      </c>
      <c r="I24" s="49" t="str">
        <f t="shared" ca="1" si="0"/>
        <v/>
      </c>
      <c r="J24" s="49" t="str">
        <f t="shared" ca="1" si="0"/>
        <v/>
      </c>
      <c r="K24" s="49" t="str">
        <f t="shared" ca="1" si="0"/>
        <v/>
      </c>
    </row>
    <row r="25" spans="1:11" x14ac:dyDescent="0.15">
      <c r="A25" s="49" t="s">
        <v>49</v>
      </c>
      <c r="B25" s="49">
        <f ca="1">IF(B9="","",IF($A$23&lt;4,6,IF($A$23&gt;12,12,OFFSET($A$9,MATCH($A$23,$A$9:$A$13),0))))</f>
        <v>10</v>
      </c>
      <c r="C25" s="49">
        <f t="shared" ref="C25:K25" ca="1" si="1">IF(C9="","",IF($A$23&lt;4,6,IF($A$23&gt;12,12,OFFSET($A$9,MATCH($A$23,$A$9:$A$13),0))))</f>
        <v>10</v>
      </c>
      <c r="D25" s="49">
        <f t="shared" ca="1" si="1"/>
        <v>10</v>
      </c>
      <c r="E25" s="49">
        <f t="shared" ca="1" si="1"/>
        <v>10</v>
      </c>
      <c r="F25" s="49" t="e">
        <f t="shared" ca="1" si="1"/>
        <v>#REF!</v>
      </c>
      <c r="G25" s="49" t="e">
        <f t="shared" ca="1" si="1"/>
        <v>#REF!</v>
      </c>
      <c r="H25" s="49" t="str">
        <f t="shared" ca="1" si="1"/>
        <v/>
      </c>
      <c r="I25" s="49" t="str">
        <f t="shared" ca="1" si="1"/>
        <v/>
      </c>
      <c r="J25" s="49" t="str">
        <f t="shared" ca="1" si="1"/>
        <v/>
      </c>
      <c r="K25" s="49" t="str">
        <f t="shared" ca="1" si="1"/>
        <v/>
      </c>
    </row>
    <row r="26" spans="1:11" x14ac:dyDescent="0.15">
      <c r="A26" s="49" t="s">
        <v>45</v>
      </c>
      <c r="B26" s="49">
        <f ca="1">IF(B9="","",IF($A$23&lt;4,B9,IF($A$23&gt;12,B12,OFFSET(B$9,MATCH($A$23,$A$9:$A$13)-1,0))))</f>
        <v>1.3870254153720607</v>
      </c>
      <c r="C26" s="49">
        <f t="shared" ref="C26:K26" ca="1" si="2">IF(C9="","",IF($A$23&lt;4,C9,IF($A$23&gt;12,C12,OFFSET(C$9,MATCH($A$23,$A$9:$A$13)-1,0))))</f>
        <v>1.3870254153720607</v>
      </c>
      <c r="D26" s="49">
        <f t="shared" ca="1" si="2"/>
        <v>1.3870254153720607</v>
      </c>
      <c r="E26" s="49">
        <f t="shared" ca="1" si="2"/>
        <v>1.3870254153720607</v>
      </c>
      <c r="F26" s="49" t="e">
        <f t="shared" ca="1" si="2"/>
        <v>#REF!</v>
      </c>
      <c r="G26" s="49" t="e">
        <f t="shared" ca="1" si="2"/>
        <v>#REF!</v>
      </c>
      <c r="H26" s="49" t="str">
        <f t="shared" ca="1" si="2"/>
        <v/>
      </c>
      <c r="I26" s="49" t="str">
        <f t="shared" ca="1" si="2"/>
        <v/>
      </c>
      <c r="J26" s="49" t="str">
        <f t="shared" ca="1" si="2"/>
        <v/>
      </c>
      <c r="K26" s="49" t="str">
        <f t="shared" ca="1" si="2"/>
        <v/>
      </c>
    </row>
    <row r="27" spans="1:11" x14ac:dyDescent="0.15">
      <c r="A27" s="49" t="s">
        <v>46</v>
      </c>
      <c r="B27" s="49">
        <f ca="1">IF(B9="","",IF($A$23&lt;4,B10,IF($A$23&gt;12,B13,OFFSET(B$9,MATCH($A$23,$A$9:$A$13),0))))</f>
        <v>1.3870254153720607</v>
      </c>
      <c r="C27" s="49">
        <f t="shared" ref="C27:K27" ca="1" si="3">IF(C9="","",IF($A$23&lt;4,C10,IF($A$23&gt;12,C13,OFFSET(C$9,MATCH($A$23,$A$9:$A$13),0))))</f>
        <v>1.3870254153720607</v>
      </c>
      <c r="D27" s="49">
        <f t="shared" ca="1" si="3"/>
        <v>1.3870254153720607</v>
      </c>
      <c r="E27" s="49">
        <f t="shared" ca="1" si="3"/>
        <v>1.3870254153720607</v>
      </c>
      <c r="F27" s="49" t="e">
        <f t="shared" ca="1" si="3"/>
        <v>#REF!</v>
      </c>
      <c r="G27" s="49" t="e">
        <f t="shared" ca="1" si="3"/>
        <v>#REF!</v>
      </c>
      <c r="H27" s="49" t="str">
        <f t="shared" ca="1" si="3"/>
        <v/>
      </c>
      <c r="I27" s="49" t="str">
        <f t="shared" ca="1" si="3"/>
        <v/>
      </c>
      <c r="J27" s="49" t="str">
        <f t="shared" ca="1" si="3"/>
        <v/>
      </c>
      <c r="K27" s="49" t="str">
        <f t="shared" ca="1" si="3"/>
        <v/>
      </c>
    </row>
    <row r="28" spans="1:11" x14ac:dyDescent="0.15">
      <c r="A28" s="49" t="s">
        <v>47</v>
      </c>
      <c r="B28" s="49">
        <f ca="1">IF(B16="","",IF($A$23&lt;4,B16,IF($A$23&gt;12,B19,OFFSET(B$16,MATCH($A$23,$A$16:$A$20)-1,0))))</f>
        <v>-2.3432810153002945</v>
      </c>
      <c r="C28" s="49">
        <f t="shared" ref="C28:K28" ca="1" si="4">IF(C16="","",IF($A$23&lt;4,C16,IF($A$23&gt;12,C19,OFFSET(C$16,MATCH($A$23,$A$16:$A$20)-1,0))))</f>
        <v>-2.6707341857843439</v>
      </c>
      <c r="D28" s="49">
        <f t="shared" ca="1" si="4"/>
        <v>-2.8622820112597651</v>
      </c>
      <c r="E28" s="49">
        <f t="shared" ca="1" si="4"/>
        <v>-2.9981873562683936</v>
      </c>
      <c r="F28" s="49" t="e">
        <f t="shared" ca="1" si="4"/>
        <v>#REF!</v>
      </c>
      <c r="G28" s="49" t="e">
        <f t="shared" ca="1" si="4"/>
        <v>#REF!</v>
      </c>
      <c r="H28" s="49" t="str">
        <f t="shared" ca="1" si="4"/>
        <v/>
      </c>
      <c r="I28" s="49" t="str">
        <f t="shared" ca="1" si="4"/>
        <v/>
      </c>
      <c r="J28" s="49" t="str">
        <f t="shared" ca="1" si="4"/>
        <v/>
      </c>
      <c r="K28" s="49" t="str">
        <f t="shared" ca="1" si="4"/>
        <v/>
      </c>
    </row>
    <row r="29" spans="1:11" x14ac:dyDescent="0.15">
      <c r="A29" s="49" t="s">
        <v>48</v>
      </c>
      <c r="B29" s="49">
        <f ca="1">IF(B16="","",IF($A$23&lt;4,B17,IF($A$23&gt;12,B20,OFFSET(B$16,MATCH($A$23,$A$16:$A$20),0))))</f>
        <v>-2.4023069187651656</v>
      </c>
      <c r="C29" s="49">
        <f t="shared" ref="C29:K29" ca="1" si="5">IF(C16="","",IF($A$23&lt;4,C17,IF($A$23&gt;12,C20,OFFSET(C$16,MATCH($A$23,$A$16:$A$20),0))))</f>
        <v>-2.7297600892492153</v>
      </c>
      <c r="D29" s="49">
        <f t="shared" ca="1" si="5"/>
        <v>-2.9213079147246361</v>
      </c>
      <c r="E29" s="49">
        <f t="shared" ca="1" si="5"/>
        <v>-3.0572132597332651</v>
      </c>
      <c r="F29" s="49" t="e">
        <f t="shared" ca="1" si="5"/>
        <v>#REF!</v>
      </c>
      <c r="G29" s="49" t="e">
        <f t="shared" ca="1" si="5"/>
        <v>#REF!</v>
      </c>
      <c r="H29" s="49" t="str">
        <f t="shared" ca="1" si="5"/>
        <v/>
      </c>
      <c r="I29" s="49" t="str">
        <f t="shared" ca="1" si="5"/>
        <v/>
      </c>
      <c r="J29" s="49" t="str">
        <f t="shared" ca="1" si="5"/>
        <v/>
      </c>
      <c r="K29" s="49" t="str">
        <f t="shared" ca="1" si="5"/>
        <v/>
      </c>
    </row>
  </sheetData>
  <sheetProtection algorithmName="SHA-512" hashValue="ZeGAvgXewQ5esCgtl8BTXUOhA9NlIQBf9DxaHYDsj4G2X16rFOjoKiPkiN+gqzWKy6/aabHBNxn3ww5fxTL4dQ==" saltValue="/49E27gs5UWGB8JsuaYVi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5" sqref="B5"/>
    </sheetView>
  </sheetViews>
  <sheetFormatPr baseColWidth="10" defaultColWidth="8.83203125" defaultRowHeight="15" x14ac:dyDescent="0.2"/>
  <cols>
    <col min="2" max="2" width="12.6640625" bestFit="1" customWidth="1"/>
  </cols>
  <sheetData>
    <row r="1" spans="1:2" x14ac:dyDescent="0.2">
      <c r="A1" s="1" t="s">
        <v>60</v>
      </c>
    </row>
    <row r="2" spans="1:2" x14ac:dyDescent="0.2">
      <c r="A2" t="s">
        <v>61</v>
      </c>
      <c r="B2">
        <f>14.7439*(1-EXP(-0.64392*(SelectionData!$C$3/1000)))-7</f>
        <v>-3.0985394483984408E-5</v>
      </c>
    </row>
    <row r="4" spans="1:2" x14ac:dyDescent="0.2">
      <c r="A4" s="1" t="s">
        <v>62</v>
      </c>
    </row>
    <row r="5" spans="1:2" ht="17" x14ac:dyDescent="0.25">
      <c r="A5" t="s">
        <v>63</v>
      </c>
      <c r="B5">
        <f>0.38482*(1-EXP(-0.65002*(SelectionData!$C$3/1000)))+0.81607</f>
        <v>1.0000003620197635</v>
      </c>
    </row>
  </sheetData>
  <sheetProtection algorithmName="SHA-512" hashValue="3RzDpMXPBYlQfKyH8bMzRY6TXY3zUydNkyxf6SHWBnlgxlJ3pDC6IEIg6QrhIr1ZYF2WCOEnyAFCu0x+leZkvg==" saltValue="9/8Dxto2cLJvPqRYfvAn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SelectionData</vt:lpstr>
      <vt:lpstr>units</vt:lpstr>
      <vt:lpstr>TechData</vt:lpstr>
      <vt:lpstr>IntermediateCalcul</vt:lpstr>
      <vt:lpstr>CorrectionFactors</vt:lpstr>
      <vt:lpstr>units</vt:lpstr>
    </vt:vector>
  </TitlesOfParts>
  <Company>Grada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De Clercq</dc:creator>
  <cp:lastModifiedBy>Microsoft Office User</cp:lastModifiedBy>
  <cp:lastPrinted>2017-10-16T13:52:59Z</cp:lastPrinted>
  <dcterms:created xsi:type="dcterms:W3CDTF">2015-05-07T08:41:20Z</dcterms:created>
  <dcterms:modified xsi:type="dcterms:W3CDTF">2020-11-12T15:09:31Z</dcterms:modified>
</cp:coreProperties>
</file>